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<sst xmlns="http://schemas.openxmlformats.org/spreadsheetml/2006/main" count="456" uniqueCount="191">
  <si>
    <t>Цена</t>
  </si>
  <si>
    <t>Белки</t>
  </si>
  <si>
    <t>Жиры</t>
  </si>
  <si>
    <t>Углеводы</t>
  </si>
  <si>
    <t xml:space="preserve">Завтрак </t>
  </si>
  <si>
    <t>200</t>
  </si>
  <si>
    <t>150</t>
  </si>
  <si>
    <t>Итого</t>
  </si>
  <si>
    <t>2 Завтрак</t>
  </si>
  <si>
    <t>Обед</t>
  </si>
  <si>
    <t>75</t>
  </si>
  <si>
    <t>Хлеб "Рябинушка"</t>
  </si>
  <si>
    <t>Полдник</t>
  </si>
  <si>
    <t>Ужин</t>
  </si>
  <si>
    <t>1/20</t>
  </si>
  <si>
    <t>Итого за день</t>
  </si>
  <si>
    <t xml:space="preserve">2 Завтрак </t>
  </si>
  <si>
    <t xml:space="preserve">Полдник </t>
  </si>
  <si>
    <t>Завтрак</t>
  </si>
  <si>
    <t xml:space="preserve">2 завтрак </t>
  </si>
  <si>
    <t xml:space="preserve">Молоко кипяченое </t>
  </si>
  <si>
    <t>сад</t>
  </si>
  <si>
    <t>ясли</t>
  </si>
  <si>
    <t>697./04</t>
  </si>
  <si>
    <t>№ рец.</t>
  </si>
  <si>
    <t>698./04</t>
  </si>
  <si>
    <t>Кисель</t>
  </si>
  <si>
    <t>Макароны отварные</t>
  </si>
  <si>
    <t>510./04</t>
  </si>
  <si>
    <t>516./04</t>
  </si>
  <si>
    <t>60</t>
  </si>
  <si>
    <t>180</t>
  </si>
  <si>
    <t>ТТК-305</t>
  </si>
  <si>
    <t xml:space="preserve">Какао с молоком </t>
  </si>
  <si>
    <t>Прием пищи, наименование блюда</t>
  </si>
  <si>
    <t xml:space="preserve">Масса порции </t>
  </si>
  <si>
    <t>Пищевые вещества (г)</t>
  </si>
  <si>
    <t>Энерг. ценность (ккал)</t>
  </si>
  <si>
    <t>Витамины (мг)</t>
  </si>
  <si>
    <t>Минеральные вещества (мг)</t>
  </si>
  <si>
    <t>С</t>
  </si>
  <si>
    <t>Ca</t>
  </si>
  <si>
    <t>Fe</t>
  </si>
  <si>
    <t>2,4 группа</t>
  </si>
  <si>
    <t xml:space="preserve">ИТОГО ЗА НЕДЕЛЮ:                                    </t>
  </si>
  <si>
    <t>В среднем в день</t>
  </si>
  <si>
    <r>
      <t>В</t>
    </r>
    <r>
      <rPr>
        <vertAlign val="subscript"/>
        <sz val="10"/>
        <rFont val="Times New Roman"/>
        <family val="1"/>
      </rPr>
      <t>2</t>
    </r>
  </si>
  <si>
    <t>Хлеб "Дарницкий"</t>
  </si>
  <si>
    <t>648./04</t>
  </si>
  <si>
    <t>В.П. Гусева</t>
  </si>
  <si>
    <t>395/10</t>
  </si>
  <si>
    <t>707./04</t>
  </si>
  <si>
    <t>1./04</t>
  </si>
  <si>
    <t xml:space="preserve">Кофейный напиток с молоком </t>
  </si>
  <si>
    <t xml:space="preserve">Батон с маслом </t>
  </si>
  <si>
    <t>311./04</t>
  </si>
  <si>
    <t xml:space="preserve">Генеральный директор                                                                                                                     </t>
  </si>
  <si>
    <t>Десерт фруктовый "Яблоко"</t>
  </si>
  <si>
    <t>Сок разливной</t>
  </si>
  <si>
    <t>100/50</t>
  </si>
  <si>
    <t>3./04</t>
  </si>
  <si>
    <t>200/25</t>
  </si>
  <si>
    <t>150/25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</si>
  <si>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</si>
  <si>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</si>
  <si>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</si>
  <si>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</si>
  <si>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Кефир</t>
  </si>
  <si>
    <t>Каша молочная манная (жидкая) с маслом</t>
  </si>
  <si>
    <t>130</t>
  </si>
  <si>
    <t>1/46,4</t>
  </si>
  <si>
    <t>1/40,6</t>
  </si>
  <si>
    <t>161./04</t>
  </si>
  <si>
    <t>135/04</t>
  </si>
  <si>
    <t xml:space="preserve">Экономист по ценам                                                                                                  </t>
  </si>
  <si>
    <t>20/5</t>
  </si>
  <si>
    <t>ТТК-475</t>
  </si>
  <si>
    <t>Чай полусладкий</t>
  </si>
  <si>
    <t xml:space="preserve">Рагу овощное </t>
  </si>
  <si>
    <t>150/30</t>
  </si>
  <si>
    <t>200/3</t>
  </si>
  <si>
    <t>150/3</t>
  </si>
  <si>
    <t>Каша гречневая вязкая</t>
  </si>
  <si>
    <t>100</t>
  </si>
  <si>
    <t>Напиток "Фруктовый" из сухофруктов</t>
  </si>
  <si>
    <t>200/10</t>
  </si>
  <si>
    <t>150/10</t>
  </si>
  <si>
    <t>50</t>
  </si>
  <si>
    <t>520./04</t>
  </si>
  <si>
    <t>Картофельное пюре</t>
  </si>
  <si>
    <t>ТТК-317</t>
  </si>
  <si>
    <t>ТТК-315</t>
  </si>
  <si>
    <t>Компот "Фруктовый" из кураги</t>
  </si>
  <si>
    <t>ТТК-147</t>
  </si>
  <si>
    <t>Компот из черной смородины</t>
  </si>
  <si>
    <t>Фатхуллина Г.А.</t>
  </si>
  <si>
    <t>ТТК-62</t>
  </si>
  <si>
    <t>Салат из отварной свеклы</t>
  </si>
  <si>
    <t>170</t>
  </si>
  <si>
    <t>148./04</t>
  </si>
  <si>
    <t xml:space="preserve">Суп -лапша по-домашнему с мясными фрикадельками </t>
  </si>
  <si>
    <t>Суп молочный с рисом</t>
  </si>
  <si>
    <t>160</t>
  </si>
  <si>
    <t>135</t>
  </si>
  <si>
    <t>45</t>
  </si>
  <si>
    <t>133./04</t>
  </si>
  <si>
    <t xml:space="preserve">Суп картофельный с рыбными консервами </t>
  </si>
  <si>
    <t>Батон  с сыром</t>
  </si>
  <si>
    <t>Компот "Фруктовый" из изюма</t>
  </si>
  <si>
    <t>ТТК-868</t>
  </si>
  <si>
    <t>Пудинг "Творожный" с яблоками с соус смет "Сластена"</t>
  </si>
  <si>
    <t>53</t>
  </si>
  <si>
    <t>ТТК.-988</t>
  </si>
  <si>
    <t>Плов "Восточная сказка"</t>
  </si>
  <si>
    <t>ТТК-450</t>
  </si>
  <si>
    <t>ТТК-341</t>
  </si>
  <si>
    <t>Запеканка "Сладкоежка" с соусом молочным</t>
  </si>
  <si>
    <t>150/50</t>
  </si>
  <si>
    <t>200/5</t>
  </si>
  <si>
    <t>150/5</t>
  </si>
  <si>
    <t>Простокваша</t>
  </si>
  <si>
    <t>ТТК-372</t>
  </si>
  <si>
    <t>Компот из свежих яблок</t>
  </si>
  <si>
    <t xml:space="preserve">Зам. директора по производству и качеству                                                              </t>
  </si>
  <si>
    <t>Г.Н. Мартынова</t>
  </si>
  <si>
    <t>Ведущий инженер-технолог по производству</t>
  </si>
  <si>
    <t>Л.Р. Загидуллина</t>
  </si>
  <si>
    <t>110./04</t>
  </si>
  <si>
    <t xml:space="preserve">Борщ из св. капусты с карт. со сметаной </t>
  </si>
  <si>
    <t>126,88 руб./день - сад</t>
  </si>
  <si>
    <t>112,09 руб./день - ясли</t>
  </si>
  <si>
    <t>Батон с маслом с сыром</t>
  </si>
  <si>
    <t>20/5/5</t>
  </si>
  <si>
    <t>131/04</t>
  </si>
  <si>
    <t xml:space="preserve">Рассольник "Ленинградский" со сметаной </t>
  </si>
  <si>
    <t xml:space="preserve">Котлеты "Камские" </t>
  </si>
  <si>
    <t>ТТК-476</t>
  </si>
  <si>
    <t>Шницель рыбный "Морской"</t>
  </si>
  <si>
    <t>ТТК-65</t>
  </si>
  <si>
    <t>Морковь тертая с сахаром</t>
  </si>
  <si>
    <t>50/50</t>
  </si>
  <si>
    <t xml:space="preserve">Каша перловая вязкая </t>
  </si>
  <si>
    <t>ТТК-331</t>
  </si>
  <si>
    <t xml:space="preserve">Котлеты "Любимые" </t>
  </si>
  <si>
    <t>Помидор свежий порционный</t>
  </si>
  <si>
    <t>ТТК-404</t>
  </si>
  <si>
    <t>Голубцы "Ленивые" с соусом смет с томат</t>
  </si>
  <si>
    <t>78./04</t>
  </si>
  <si>
    <t>Салат "Зайка"</t>
  </si>
  <si>
    <t>Десерт фруктовый "Банан"</t>
  </si>
  <si>
    <t>ТТК-982</t>
  </si>
  <si>
    <t>Каша молочная овсяно- гречневая (вязкая) с маслом</t>
  </si>
  <si>
    <t>437/04</t>
  </si>
  <si>
    <t xml:space="preserve">Гуляш из говядины </t>
  </si>
  <si>
    <t>ТТК-734</t>
  </si>
  <si>
    <t xml:space="preserve">Биточки рыбные "Морячка" </t>
  </si>
  <si>
    <t>140</t>
  </si>
  <si>
    <t>11 группа: сады № 27, 93, 30, 28, 50, 34, 103, 52, 51, 40, 54, 110</t>
  </si>
  <si>
    <t xml:space="preserve">12 группа: сады № 115, 39, 35, 46, 7, 29, 31, 18, 106, 21, 14, 97, 12 </t>
  </si>
  <si>
    <t>14 группа: сады № 75, 92, 73, 72, 96, 10, 17, 20, 105, 120, 64, 49, 26</t>
  </si>
  <si>
    <t>17 группа: сады № 122, 123, 53, 44, 94, 83, 78, 80, 111, 104, 114, 98, 81</t>
  </si>
  <si>
    <t>18 группа: сады № 121, 62, 65, 16, 86, 66, 82, 109, 8,  9, 108, 118</t>
  </si>
  <si>
    <t xml:space="preserve">     НЕДЕЛЬНОЕ МЕНЮ ДЛЯ ОБЩЕРАЗВИВАЮЩИХ ДЕТСКИХ САДОВ С 14.10.19 г по 18.10.19 г    </t>
  </si>
  <si>
    <t>ПОНЕДЕЛЬНИК  14.10</t>
  </si>
  <si>
    <t>ВТОРНИК 15.10</t>
  </si>
  <si>
    <t>СРЕДА 16.10</t>
  </si>
  <si>
    <t>ЧЕТВЕРГ 17.10</t>
  </si>
  <si>
    <t>ПЯТНИЦА 18.10</t>
  </si>
  <si>
    <t>311/04</t>
  </si>
  <si>
    <t>Каша молочная "Геркулесовая" (жидкая) с маслом</t>
  </si>
  <si>
    <t>344/10</t>
  </si>
  <si>
    <t>ТТК-814</t>
  </si>
  <si>
    <t>Булочка "Домашняя"</t>
  </si>
  <si>
    <t>30</t>
  </si>
  <si>
    <t>216./04</t>
  </si>
  <si>
    <t>Картофель тушеный</t>
  </si>
  <si>
    <t xml:space="preserve">Суп из овощей на м/к бульоне со сметаной </t>
  </si>
  <si>
    <t>ТТК-53</t>
  </si>
  <si>
    <t xml:space="preserve">Мякоть птицы тушеная в соусе </t>
  </si>
  <si>
    <t>340/04</t>
  </si>
  <si>
    <t xml:space="preserve">Омлет натуральный </t>
  </si>
  <si>
    <t>166/10</t>
  </si>
  <si>
    <t>Каша пшеничная рассыпчатая с овощами</t>
  </si>
  <si>
    <t>Молоко кипяченое с печеньем "Со вкусом лимона"</t>
  </si>
  <si>
    <t>180/17</t>
  </si>
  <si>
    <t>30/10</t>
  </si>
  <si>
    <t>Н.В. Журавлева</t>
  </si>
  <si>
    <t>20/5/10</t>
  </si>
  <si>
    <t>ТТК-66</t>
  </si>
  <si>
    <t>Салат "Солнышко"</t>
  </si>
  <si>
    <t>116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</si>
</sst>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;[Red]0.0"/>
  </numFmts>
  <fonts count="3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1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7"/>
      <name val="Times New Roman"/>
      <family val="1"/>
    </font>
    <font>
      <vertAlign val="subscript"/>
      <sz val="10"/>
      <name val="Times New Roman"/>
      <family val="1"/>
    </font>
    <font>
      <sz val="13"/>
      <name val="Times New Roman"/>
      <family val="1"/>
    </font>
    <font>
      <sz val="9"/>
      <color indexed="10"/>
      <name val="Times New Roman"/>
      <family val="1"/>
    </font>
    <font>
      <sz val="9"/>
      <name val="Arial Cyr"/>
      <family val="2"/>
    </font>
    <font>
      <u val="single"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10" fillId="0" borderId="10" xfId="53" applyNumberFormat="1" applyFont="1" applyFill="1" applyBorder="1" applyAlignment="1">
      <alignment horizontal="center" vertical="center"/>
      <protection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53" applyNumberFormat="1" applyFont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54" applyNumberFormat="1" applyFont="1" applyFill="1" applyBorder="1" applyAlignment="1">
      <alignment horizontal="center" vertical="center"/>
      <protection/>
    </xf>
    <xf numFmtId="2" fontId="16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54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2" fontId="10" fillId="0" borderId="12" xfId="53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vertical="top" wrapText="1"/>
    </xf>
    <xf numFmtId="2" fontId="10" fillId="0" borderId="12" xfId="54" applyNumberFormat="1" applyFont="1" applyFill="1" applyBorder="1" applyAlignment="1">
      <alignment horizontal="center" vertical="center"/>
      <protection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2" xfId="53" applyNumberFormat="1" applyFont="1" applyBorder="1" applyAlignment="1">
      <alignment horizontal="center" vertical="center"/>
      <protection/>
    </xf>
    <xf numFmtId="2" fontId="7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2" fontId="10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10" fillId="0" borderId="12" xfId="54" applyNumberFormat="1" applyFont="1" applyBorder="1" applyAlignment="1">
      <alignment horizontal="center" vertical="center"/>
      <protection/>
    </xf>
    <xf numFmtId="2" fontId="7" fillId="0" borderId="12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/>
    </xf>
    <xf numFmtId="2" fontId="10" fillId="25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wrapText="1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2" fontId="10" fillId="0" borderId="16" xfId="54" applyNumberFormat="1" applyFont="1" applyFill="1" applyBorder="1" applyAlignment="1">
      <alignment horizontal="center" vertical="center"/>
      <protection/>
    </xf>
    <xf numFmtId="0" fontId="1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6" fillId="0" borderId="19" xfId="0" applyFont="1" applyFill="1" applyBorder="1" applyAlignment="1">
      <alignment vertical="top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2" fontId="10" fillId="0" borderId="16" xfId="0" applyNumberFormat="1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/>
    </xf>
    <xf numFmtId="2" fontId="10" fillId="0" borderId="15" xfId="53" applyNumberFormat="1" applyFont="1" applyFill="1" applyBorder="1" applyAlignment="1">
      <alignment horizontal="center" vertical="center"/>
      <protection/>
    </xf>
    <xf numFmtId="2" fontId="10" fillId="0" borderId="15" xfId="0" applyNumberFormat="1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/>
    </xf>
    <xf numFmtId="0" fontId="9" fillId="22" borderId="12" xfId="0" applyFont="1" applyFill="1" applyBorder="1" applyAlignment="1">
      <alignment horizontal="center"/>
    </xf>
    <xf numFmtId="0" fontId="13" fillId="22" borderId="10" xfId="0" applyFont="1" applyFill="1" applyBorder="1" applyAlignment="1">
      <alignment horizontal="center" vertical="distributed"/>
    </xf>
    <xf numFmtId="49" fontId="9" fillId="22" borderId="12" xfId="0" applyNumberFormat="1" applyFont="1" applyFill="1" applyBorder="1" applyAlignment="1">
      <alignment horizontal="center"/>
    </xf>
    <xf numFmtId="49" fontId="9" fillId="22" borderId="10" xfId="0" applyNumberFormat="1" applyFont="1" applyFill="1" applyBorder="1" applyAlignment="1">
      <alignment horizontal="center"/>
    </xf>
    <xf numFmtId="0" fontId="9" fillId="22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vertical="top" wrapText="1"/>
    </xf>
    <xf numFmtId="0" fontId="9" fillId="22" borderId="12" xfId="0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14" fontId="9" fillId="22" borderId="10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9" fillId="4" borderId="12" xfId="0" applyFont="1" applyFill="1" applyBorder="1" applyAlignment="1">
      <alignment horizontal="center"/>
    </xf>
    <xf numFmtId="0" fontId="9" fillId="22" borderId="12" xfId="0" applyFont="1" applyFill="1" applyBorder="1" applyAlignment="1">
      <alignment horizont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/>
    </xf>
    <xf numFmtId="2" fontId="10" fillId="0" borderId="14" xfId="53" applyNumberFormat="1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/>
    </xf>
    <xf numFmtId="2" fontId="10" fillId="0" borderId="23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2" fontId="10" fillId="0" borderId="13" xfId="53" applyNumberFormat="1" applyFont="1" applyFill="1" applyBorder="1" applyAlignment="1">
      <alignment horizontal="center" vertical="center"/>
      <protection/>
    </xf>
    <xf numFmtId="49" fontId="6" fillId="0" borderId="24" xfId="0" applyNumberFormat="1" applyFont="1" applyFill="1" applyBorder="1" applyAlignment="1">
      <alignment vertical="top" wrapText="1"/>
    </xf>
    <xf numFmtId="49" fontId="10" fillId="0" borderId="25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distributed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0" fontId="0" fillId="27" borderId="0" xfId="0" applyFill="1" applyAlignment="1">
      <alignment/>
    </xf>
    <xf numFmtId="0" fontId="0" fillId="27" borderId="0" xfId="0" applyFill="1" applyBorder="1" applyAlignment="1">
      <alignment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26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172</xdr:row>
      <xdr:rowOff>152400</xdr:rowOff>
    </xdr:from>
    <xdr:to>
      <xdr:col>7</xdr:col>
      <xdr:colOff>257175</xdr:colOff>
      <xdr:row>175</xdr:row>
      <xdr:rowOff>19050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rcRect l="38554" r="12048" b="73054"/>
        <a:stretch>
          <a:fillRect/>
        </a:stretch>
      </xdr:blipFill>
      <xdr:spPr>
        <a:xfrm>
          <a:off x="4619625" y="3456622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175</xdr:row>
      <xdr:rowOff>66675</xdr:rowOff>
    </xdr:from>
    <xdr:to>
      <xdr:col>7</xdr:col>
      <xdr:colOff>428625</xdr:colOff>
      <xdr:row>178</xdr:row>
      <xdr:rowOff>9525</xdr:rowOff>
    </xdr:to>
    <xdr:pic>
      <xdr:nvPicPr>
        <xdr:cNvPr id="2" name="Изображения 6"/>
        <xdr:cNvPicPr preferRelativeResize="1">
          <a:picLocks noChangeAspect="1"/>
        </xdr:cNvPicPr>
      </xdr:nvPicPr>
      <xdr:blipFill>
        <a:blip r:embed="rId2"/>
        <a:srcRect t="73057" r="18605" b="-1036"/>
        <a:stretch>
          <a:fillRect/>
        </a:stretch>
      </xdr:blipFill>
      <xdr:spPr>
        <a:xfrm>
          <a:off x="4476750" y="350520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177</xdr:row>
      <xdr:rowOff>85725</xdr:rowOff>
    </xdr:from>
    <xdr:to>
      <xdr:col>7</xdr:col>
      <xdr:colOff>323850</xdr:colOff>
      <xdr:row>179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t="45860" b="31210"/>
        <a:stretch>
          <a:fillRect/>
        </a:stretch>
      </xdr:blipFill>
      <xdr:spPr>
        <a:xfrm>
          <a:off x="4552950" y="35452050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179</xdr:row>
      <xdr:rowOff>47625</xdr:rowOff>
    </xdr:from>
    <xdr:to>
      <xdr:col>7</xdr:col>
      <xdr:colOff>381000</xdr:colOff>
      <xdr:row>181</xdr:row>
      <xdr:rowOff>85725</xdr:rowOff>
    </xdr:to>
    <xdr:pic>
      <xdr:nvPicPr>
        <xdr:cNvPr id="4" name="Picture 265"/>
        <xdr:cNvPicPr preferRelativeResize="1">
          <a:picLocks noChangeAspect="1"/>
        </xdr:cNvPicPr>
      </xdr:nvPicPr>
      <xdr:blipFill>
        <a:blip r:embed="rId4"/>
        <a:srcRect t="27941" b="21078"/>
        <a:stretch>
          <a:fillRect/>
        </a:stretch>
      </xdr:blipFill>
      <xdr:spPr>
        <a:xfrm rot="16200000">
          <a:off x="4429125" y="35794950"/>
          <a:ext cx="1200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209550</xdr:colOff>
      <xdr:row>3</xdr:row>
      <xdr:rowOff>66675</xdr:rowOff>
    </xdr:from>
    <xdr:to>
      <xdr:col>13</xdr:col>
      <xdr:colOff>447675</xdr:colOff>
      <xdr:row>4</xdr:row>
      <xdr:rowOff>180975</xdr:rowOff>
    </xdr:to>
    <xdr:pic>
      <xdr:nvPicPr>
        <xdr:cNvPr id="5" name="Picture 2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24825" y="638175"/>
          <a:ext cx="857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1"/>
  <sheetViews>
    <sheetView tabSelected="1" zoomScalePageLayoutView="0" workbookViewId="0" topLeftCell="A1">
      <selection activeCell="A2" sqref="A2:A6"/>
    </sheetView>
  </sheetViews>
  <sheetFormatPr defaultColWidth="9.00390625" defaultRowHeight="12.75"/>
  <cols>
    <col min="1" max="1" width="6.75390625" style="24" customWidth="1"/>
    <col min="2" max="2" width="26.625" style="18" customWidth="1"/>
    <col min="3" max="3" width="7.25390625" style="18" customWidth="1"/>
    <col min="4" max="4" width="6.75390625" style="18" customWidth="1"/>
    <col min="5" max="6" width="7.25390625" style="19" customWidth="1"/>
    <col min="7" max="9" width="7.00390625" style="18" customWidth="1"/>
    <col min="10" max="10" width="7.375" style="18" customWidth="1"/>
    <col min="11" max="11" width="6.875" style="18" customWidth="1"/>
    <col min="12" max="12" width="6.75390625" style="18" customWidth="1"/>
    <col min="13" max="13" width="8.125" style="18" customWidth="1"/>
    <col min="14" max="14" width="8.00390625" style="18" customWidth="1"/>
    <col min="15" max="18" width="5.625" style="0" hidden="1" customWidth="1"/>
    <col min="19" max="20" width="8.125" style="0" customWidth="1"/>
    <col min="21" max="28" width="5.625" style="0" hidden="1" customWidth="1"/>
  </cols>
  <sheetData>
    <row r="1" spans="1:29" s="16" customFormat="1" ht="15" customHeight="1">
      <c r="A1" s="24"/>
      <c r="B1" s="18"/>
      <c r="C1" s="18"/>
      <c r="D1" s="18"/>
      <c r="E1" s="19"/>
      <c r="F1" s="19"/>
      <c r="G1" s="18"/>
      <c r="H1" s="2"/>
      <c r="I1" s="30"/>
      <c r="J1" s="30"/>
      <c r="K1" s="30"/>
      <c r="L1" s="3"/>
      <c r="M1" s="3" t="s">
        <v>64</v>
      </c>
      <c r="N1" s="3"/>
      <c r="O1" s="48"/>
      <c r="P1" s="2"/>
      <c r="Q1"/>
      <c r="R1" s="3"/>
      <c r="S1" s="3"/>
      <c r="T1" s="3"/>
      <c r="U1" s="48"/>
      <c r="V1" s="2"/>
      <c r="W1" s="3"/>
      <c r="X1" s="79"/>
      <c r="Y1" s="79"/>
      <c r="Z1" s="79"/>
      <c r="AA1" s="79"/>
      <c r="AB1" s="79"/>
      <c r="AC1" s="79"/>
    </row>
    <row r="2" spans="1:29" s="16" customFormat="1" ht="15" customHeight="1">
      <c r="A2" s="104" t="s">
        <v>157</v>
      </c>
      <c r="B2" s="18"/>
      <c r="C2" s="18"/>
      <c r="D2" s="18"/>
      <c r="E2" s="19"/>
      <c r="F2" s="19"/>
      <c r="G2" s="18"/>
      <c r="H2" s="3"/>
      <c r="I2" s="3"/>
      <c r="J2" s="48"/>
      <c r="K2" s="2"/>
      <c r="L2" s="3"/>
      <c r="M2" s="3" t="s">
        <v>65</v>
      </c>
      <c r="N2" s="3"/>
      <c r="O2" s="48"/>
      <c r="P2" s="3"/>
      <c r="Q2"/>
      <c r="R2" s="3"/>
      <c r="S2" s="3"/>
      <c r="T2" s="3"/>
      <c r="U2" s="48"/>
      <c r="V2" s="3"/>
      <c r="W2" s="3"/>
      <c r="X2" s="79"/>
      <c r="Y2" s="79"/>
      <c r="Z2" s="79"/>
      <c r="AA2" s="79"/>
      <c r="AB2" s="79"/>
      <c r="AC2" s="79"/>
    </row>
    <row r="3" spans="1:29" s="16" customFormat="1" ht="15" customHeight="1">
      <c r="A3" s="104" t="s">
        <v>158</v>
      </c>
      <c r="B3" s="18"/>
      <c r="C3" s="18"/>
      <c r="D3" s="18"/>
      <c r="E3" s="19"/>
      <c r="F3" s="19"/>
      <c r="G3" s="18"/>
      <c r="H3" s="3"/>
      <c r="I3" s="3"/>
      <c r="J3" s="48"/>
      <c r="K3" s="3"/>
      <c r="L3" s="3"/>
      <c r="M3" s="4" t="s">
        <v>66</v>
      </c>
      <c r="N3" s="3"/>
      <c r="O3" s="48"/>
      <c r="P3" s="2"/>
      <c r="Q3"/>
      <c r="R3" s="4"/>
      <c r="S3" s="3"/>
      <c r="T3" s="3"/>
      <c r="U3" s="48"/>
      <c r="V3" s="2"/>
      <c r="W3" s="3"/>
      <c r="X3" s="79"/>
      <c r="Y3" s="79"/>
      <c r="Z3" s="79"/>
      <c r="AA3" s="79"/>
      <c r="AB3" s="79"/>
      <c r="AC3" s="79"/>
    </row>
    <row r="4" spans="1:29" s="16" customFormat="1" ht="15" customHeight="1">
      <c r="A4" s="104" t="s">
        <v>159</v>
      </c>
      <c r="B4" s="18"/>
      <c r="C4" s="18"/>
      <c r="D4" s="18"/>
      <c r="E4" s="19"/>
      <c r="F4" s="19"/>
      <c r="G4" s="18"/>
      <c r="H4" s="4"/>
      <c r="I4" s="3"/>
      <c r="J4" s="48"/>
      <c r="K4" s="2"/>
      <c r="L4" s="3"/>
      <c r="M4" s="164"/>
      <c r="N4" s="164"/>
      <c r="O4" s="3"/>
      <c r="P4" s="3"/>
      <c r="Q4"/>
      <c r="R4" s="3"/>
      <c r="S4" s="3" t="s">
        <v>95</v>
      </c>
      <c r="T4" s="3"/>
      <c r="U4" s="48"/>
      <c r="V4" s="2"/>
      <c r="W4" s="3"/>
      <c r="X4" s="79"/>
      <c r="Y4" s="79"/>
      <c r="Z4" s="79"/>
      <c r="AA4" s="79"/>
      <c r="AB4" s="79"/>
      <c r="AC4" s="79"/>
    </row>
    <row r="5" spans="1:22" s="16" customFormat="1" ht="15" customHeight="1">
      <c r="A5" s="104" t="s">
        <v>160</v>
      </c>
      <c r="B5" s="18"/>
      <c r="C5" s="18"/>
      <c r="D5" s="18"/>
      <c r="E5" s="19"/>
      <c r="F5" s="19"/>
      <c r="G5" s="18"/>
      <c r="H5" s="3"/>
      <c r="I5" s="3"/>
      <c r="J5" s="3"/>
      <c r="K5" s="3"/>
      <c r="L5" s="3"/>
      <c r="M5" s="33"/>
      <c r="N5" s="33"/>
      <c r="O5" s="79"/>
      <c r="P5" s="79"/>
      <c r="Q5" s="79"/>
      <c r="R5" s="79"/>
      <c r="S5" s="79"/>
      <c r="T5" s="79"/>
      <c r="U5" s="3"/>
      <c r="V5" s="3"/>
    </row>
    <row r="6" spans="1:17" s="16" customFormat="1" ht="15" customHeight="1">
      <c r="A6" s="104" t="s">
        <v>161</v>
      </c>
      <c r="B6" s="18"/>
      <c r="C6" s="18"/>
      <c r="D6" s="18"/>
      <c r="E6" s="19"/>
      <c r="F6" s="19"/>
      <c r="G6" s="18"/>
      <c r="H6" s="5"/>
      <c r="I6" s="20"/>
      <c r="J6" s="18"/>
      <c r="K6" s="18"/>
      <c r="L6" s="18"/>
      <c r="M6" s="18"/>
      <c r="N6" s="18"/>
      <c r="Q6" s="87"/>
    </row>
    <row r="7" spans="1:17" s="16" customFormat="1" ht="15" customHeight="1">
      <c r="A7" s="24"/>
      <c r="B7" s="18"/>
      <c r="C7" s="18"/>
      <c r="D7" s="18"/>
      <c r="E7" s="19"/>
      <c r="F7" s="19"/>
      <c r="G7" s="18"/>
      <c r="H7" s="87"/>
      <c r="I7" s="87"/>
      <c r="J7" s="87"/>
      <c r="K7" s="87"/>
      <c r="L7" s="87"/>
      <c r="M7" s="87" t="s">
        <v>43</v>
      </c>
      <c r="N7" s="87"/>
      <c r="Q7" s="87"/>
    </row>
    <row r="8" spans="1:24" s="88" customFormat="1" ht="15" customHeight="1">
      <c r="A8" s="172" t="s">
        <v>162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</row>
    <row r="9" spans="1:24" s="88" customFormat="1" ht="1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3" t="s">
        <v>129</v>
      </c>
      <c r="T9" s="142"/>
      <c r="U9" s="142"/>
      <c r="V9" s="142"/>
      <c r="W9" s="142"/>
      <c r="X9" s="142"/>
    </row>
    <row r="10" spans="1:19" s="16" customFormat="1" ht="15.75">
      <c r="A10" s="24"/>
      <c r="B10" s="2"/>
      <c r="C10" s="18"/>
      <c r="D10" s="18"/>
      <c r="E10" s="19"/>
      <c r="F10" s="19"/>
      <c r="G10" s="18"/>
      <c r="H10" s="18"/>
      <c r="I10" s="18"/>
      <c r="J10" s="18"/>
      <c r="K10" s="18"/>
      <c r="L10" s="18"/>
      <c r="M10" s="18"/>
      <c r="N10" s="18"/>
      <c r="S10" s="144" t="s">
        <v>130</v>
      </c>
    </row>
    <row r="11" spans="1:31" s="16" customFormat="1" ht="21" customHeight="1">
      <c r="A11" s="173" t="s">
        <v>24</v>
      </c>
      <c r="B11" s="175" t="s">
        <v>34</v>
      </c>
      <c r="C11" s="171" t="s">
        <v>35</v>
      </c>
      <c r="D11" s="171"/>
      <c r="E11" s="176" t="s">
        <v>0</v>
      </c>
      <c r="F11" s="176"/>
      <c r="G11" s="176" t="s">
        <v>36</v>
      </c>
      <c r="H11" s="176"/>
      <c r="I11" s="176"/>
      <c r="J11" s="176"/>
      <c r="K11" s="176"/>
      <c r="L11" s="176"/>
      <c r="M11" s="171" t="s">
        <v>37</v>
      </c>
      <c r="N11" s="171"/>
      <c r="O11" s="165" t="s">
        <v>38</v>
      </c>
      <c r="P11" s="165"/>
      <c r="Q11" s="165"/>
      <c r="R11" s="165"/>
      <c r="S11" s="165"/>
      <c r="T11" s="165"/>
      <c r="U11" s="177" t="s">
        <v>39</v>
      </c>
      <c r="V11" s="177"/>
      <c r="W11" s="177"/>
      <c r="X11" s="177"/>
      <c r="Z11" s="56"/>
      <c r="AA11" s="56"/>
      <c r="AB11" s="56"/>
      <c r="AC11" s="56"/>
      <c r="AD11" s="56"/>
      <c r="AE11" s="56"/>
    </row>
    <row r="12" spans="1:31" s="16" customFormat="1" ht="15" customHeight="1">
      <c r="A12" s="174"/>
      <c r="B12" s="175"/>
      <c r="C12" s="171"/>
      <c r="D12" s="171"/>
      <c r="E12" s="176"/>
      <c r="F12" s="176"/>
      <c r="G12" s="170" t="s">
        <v>1</v>
      </c>
      <c r="H12" s="170"/>
      <c r="I12" s="170" t="s">
        <v>2</v>
      </c>
      <c r="J12" s="170"/>
      <c r="K12" s="170" t="s">
        <v>3</v>
      </c>
      <c r="L12" s="170"/>
      <c r="M12" s="171"/>
      <c r="N12" s="171"/>
      <c r="O12" s="166" t="s">
        <v>63</v>
      </c>
      <c r="P12" s="166"/>
      <c r="Q12" s="166" t="s">
        <v>46</v>
      </c>
      <c r="R12" s="166"/>
      <c r="S12" s="166" t="s">
        <v>40</v>
      </c>
      <c r="T12" s="166"/>
      <c r="U12" s="166" t="s">
        <v>41</v>
      </c>
      <c r="V12" s="166"/>
      <c r="W12" s="166" t="s">
        <v>42</v>
      </c>
      <c r="X12" s="166"/>
      <c r="Z12" s="56"/>
      <c r="AA12" s="56"/>
      <c r="AB12" s="56"/>
      <c r="AC12" s="56"/>
      <c r="AD12" s="56"/>
      <c r="AE12" s="56"/>
    </row>
    <row r="13" spans="1:31" s="16" customFormat="1" ht="15" customHeight="1">
      <c r="A13" s="21" t="s">
        <v>24</v>
      </c>
      <c r="B13" s="90" t="s">
        <v>163</v>
      </c>
      <c r="C13" s="89" t="s">
        <v>21</v>
      </c>
      <c r="D13" s="89" t="s">
        <v>22</v>
      </c>
      <c r="E13" s="89" t="s">
        <v>21</v>
      </c>
      <c r="F13" s="89" t="s">
        <v>22</v>
      </c>
      <c r="G13" s="89" t="s">
        <v>21</v>
      </c>
      <c r="H13" s="89" t="s">
        <v>22</v>
      </c>
      <c r="I13" s="89" t="s">
        <v>21</v>
      </c>
      <c r="J13" s="89" t="s">
        <v>22</v>
      </c>
      <c r="K13" s="89" t="s">
        <v>21</v>
      </c>
      <c r="L13" s="89" t="s">
        <v>22</v>
      </c>
      <c r="M13" s="89" t="s">
        <v>21</v>
      </c>
      <c r="N13" s="89" t="s">
        <v>22</v>
      </c>
      <c r="O13" s="89" t="s">
        <v>21</v>
      </c>
      <c r="P13" s="89" t="s">
        <v>22</v>
      </c>
      <c r="Q13" s="89" t="s">
        <v>21</v>
      </c>
      <c r="R13" s="89" t="s">
        <v>22</v>
      </c>
      <c r="S13" s="89" t="s">
        <v>21</v>
      </c>
      <c r="T13" s="89" t="s">
        <v>22</v>
      </c>
      <c r="U13" s="89" t="s">
        <v>21</v>
      </c>
      <c r="V13" s="89" t="s">
        <v>22</v>
      </c>
      <c r="W13" s="89" t="s">
        <v>21</v>
      </c>
      <c r="X13" s="89" t="s">
        <v>22</v>
      </c>
      <c r="Z13" s="56"/>
      <c r="AA13" s="56"/>
      <c r="AB13" s="56"/>
      <c r="AC13" s="56"/>
      <c r="AD13" s="56"/>
      <c r="AE13" s="56"/>
    </row>
    <row r="14" spans="1:31" ht="15" customHeight="1">
      <c r="A14" s="22"/>
      <c r="B14" s="91" t="s">
        <v>4</v>
      </c>
      <c r="C14" s="92"/>
      <c r="D14" s="92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2"/>
      <c r="Q14" s="52"/>
      <c r="R14" s="52"/>
      <c r="S14" s="52"/>
      <c r="T14" s="52"/>
      <c r="U14" s="52"/>
      <c r="V14" s="52"/>
      <c r="W14" s="52"/>
      <c r="X14" s="52"/>
      <c r="Z14" s="53"/>
      <c r="AA14" s="53"/>
      <c r="AB14" s="53"/>
      <c r="AC14" s="53"/>
      <c r="AD14" s="53"/>
      <c r="AE14" s="53"/>
    </row>
    <row r="15" spans="1:30" s="1" customFormat="1" ht="14.25" customHeight="1">
      <c r="A15" s="119" t="s">
        <v>60</v>
      </c>
      <c r="B15" s="23" t="s">
        <v>107</v>
      </c>
      <c r="C15" s="43"/>
      <c r="D15" s="43" t="s">
        <v>75</v>
      </c>
      <c r="E15" s="28"/>
      <c r="F15" s="28">
        <v>4.58</v>
      </c>
      <c r="G15" s="28">
        <v>0</v>
      </c>
      <c r="H15" s="29">
        <v>2.9</v>
      </c>
      <c r="I15" s="28">
        <v>0</v>
      </c>
      <c r="J15" s="29">
        <v>1.95</v>
      </c>
      <c r="K15" s="28">
        <v>0</v>
      </c>
      <c r="L15" s="29">
        <v>10.4</v>
      </c>
      <c r="M15" s="28">
        <v>0</v>
      </c>
      <c r="N15" s="29">
        <v>70.75</v>
      </c>
      <c r="O15" s="86">
        <v>0.08</v>
      </c>
      <c r="P15" s="86">
        <f>O15*40/60</f>
        <v>0.05333333333333334</v>
      </c>
      <c r="Q15" s="86">
        <v>0.06</v>
      </c>
      <c r="R15" s="86">
        <f>Q15*40/60</f>
        <v>0.04</v>
      </c>
      <c r="S15" s="28">
        <v>0</v>
      </c>
      <c r="T15" s="29">
        <v>0.14</v>
      </c>
      <c r="U15" s="29">
        <v>70.8</v>
      </c>
      <c r="V15" s="29">
        <f>U15*40/60</f>
        <v>47.2</v>
      </c>
      <c r="W15" s="29">
        <v>0.81</v>
      </c>
      <c r="X15" s="74">
        <f>W15*40/60</f>
        <v>0.5400000000000001</v>
      </c>
      <c r="Y15" s="59"/>
      <c r="Z15" s="57"/>
      <c r="AA15" s="57"/>
      <c r="AB15" s="57"/>
      <c r="AC15" s="57"/>
      <c r="AD15" s="57"/>
    </row>
    <row r="16" spans="1:30" s="1" customFormat="1" ht="14.25" customHeight="1">
      <c r="A16" s="119" t="s">
        <v>60</v>
      </c>
      <c r="B16" s="23" t="s">
        <v>131</v>
      </c>
      <c r="C16" s="43" t="s">
        <v>132</v>
      </c>
      <c r="D16" s="43"/>
      <c r="E16" s="28">
        <v>7.11</v>
      </c>
      <c r="F16" s="28"/>
      <c r="G16" s="28">
        <v>2.93</v>
      </c>
      <c r="H16" s="29">
        <v>0</v>
      </c>
      <c r="I16" s="28">
        <v>6.05</v>
      </c>
      <c r="J16" s="29">
        <v>0</v>
      </c>
      <c r="K16" s="28">
        <v>10.4</v>
      </c>
      <c r="L16" s="29">
        <v>0</v>
      </c>
      <c r="M16" s="28">
        <v>107.77</v>
      </c>
      <c r="N16" s="29">
        <v>0</v>
      </c>
      <c r="O16" s="29">
        <v>0.08</v>
      </c>
      <c r="P16" s="29">
        <f>O16*40/60</f>
        <v>0.05333333333333334</v>
      </c>
      <c r="Q16" s="29">
        <v>0.06</v>
      </c>
      <c r="R16" s="29">
        <f>Q16*40/60</f>
        <v>0.04</v>
      </c>
      <c r="S16" s="28">
        <v>0.14</v>
      </c>
      <c r="T16" s="29">
        <v>0</v>
      </c>
      <c r="U16" s="29">
        <v>70.8</v>
      </c>
      <c r="V16" s="29">
        <f>U16*40/60</f>
        <v>47.2</v>
      </c>
      <c r="W16" s="29">
        <v>0.81</v>
      </c>
      <c r="X16" s="74">
        <f>W16*40/60</f>
        <v>0.5400000000000001</v>
      </c>
      <c r="Y16" s="59"/>
      <c r="Z16" s="57"/>
      <c r="AA16" s="57"/>
      <c r="AB16" s="57"/>
      <c r="AC16" s="57"/>
      <c r="AD16" s="57"/>
    </row>
    <row r="17" spans="1:29" ht="12.75">
      <c r="A17" s="137" t="s">
        <v>112</v>
      </c>
      <c r="B17" s="23" t="s">
        <v>113</v>
      </c>
      <c r="C17" s="43" t="s">
        <v>5</v>
      </c>
      <c r="D17" s="43" t="s">
        <v>6</v>
      </c>
      <c r="E17" s="28">
        <v>9.66</v>
      </c>
      <c r="F17" s="28">
        <v>7.24</v>
      </c>
      <c r="G17" s="28">
        <v>5.31</v>
      </c>
      <c r="H17" s="28">
        <v>3.98</v>
      </c>
      <c r="I17" s="28">
        <v>37.8</v>
      </c>
      <c r="J17" s="29">
        <v>28.35</v>
      </c>
      <c r="K17" s="28">
        <v>62.87</v>
      </c>
      <c r="L17" s="29">
        <v>47.15</v>
      </c>
      <c r="M17" s="28">
        <v>615.26</v>
      </c>
      <c r="N17" s="29">
        <v>461.45</v>
      </c>
      <c r="O17" s="28">
        <f>P17*200/150</f>
        <v>0.12</v>
      </c>
      <c r="P17" s="40">
        <v>0.09</v>
      </c>
      <c r="Q17" s="28">
        <f>R17*200/150</f>
        <v>0.04</v>
      </c>
      <c r="R17" s="40">
        <v>0.03</v>
      </c>
      <c r="S17" s="40">
        <v>2.17</v>
      </c>
      <c r="T17" s="40">
        <v>1.6</v>
      </c>
      <c r="U17" s="28">
        <f>V17*200/150</f>
        <v>1.5466666666666664</v>
      </c>
      <c r="V17" s="40">
        <v>1.16</v>
      </c>
      <c r="W17" s="28">
        <f>X17*200/150</f>
        <v>0.72</v>
      </c>
      <c r="X17" s="138">
        <v>0.54</v>
      </c>
      <c r="Y17" s="54"/>
      <c r="Z17" s="53"/>
      <c r="AA17" s="53"/>
      <c r="AB17" s="54"/>
      <c r="AC17" s="53"/>
    </row>
    <row r="18" spans="1:31" ht="15" customHeight="1">
      <c r="A18" s="120" t="s">
        <v>48</v>
      </c>
      <c r="B18" s="64" t="s">
        <v>26</v>
      </c>
      <c r="C18" s="65" t="s">
        <v>5</v>
      </c>
      <c r="D18" s="65" t="s">
        <v>6</v>
      </c>
      <c r="E18" s="61">
        <v>1.73</v>
      </c>
      <c r="F18" s="61">
        <v>1.29</v>
      </c>
      <c r="G18" s="40">
        <v>0</v>
      </c>
      <c r="H18" s="44">
        <v>0</v>
      </c>
      <c r="I18" s="40">
        <v>0</v>
      </c>
      <c r="J18" s="44">
        <f>I18*150/200</f>
        <v>0</v>
      </c>
      <c r="K18" s="40">
        <v>30.6</v>
      </c>
      <c r="L18" s="44">
        <f>K18*150/200</f>
        <v>22.95</v>
      </c>
      <c r="M18" s="40">
        <v>118</v>
      </c>
      <c r="N18" s="44">
        <v>88.5</v>
      </c>
      <c r="O18" s="42">
        <v>0</v>
      </c>
      <c r="P18" s="44">
        <f>O18*150/200</f>
        <v>0</v>
      </c>
      <c r="Q18" s="42">
        <v>0</v>
      </c>
      <c r="R18" s="44">
        <f>Q18*150/200</f>
        <v>0</v>
      </c>
      <c r="S18" s="42">
        <v>0</v>
      </c>
      <c r="T18" s="44">
        <f>S18*150/200</f>
        <v>0</v>
      </c>
      <c r="U18" s="66">
        <f>V18*200/150</f>
        <v>0.2</v>
      </c>
      <c r="V18" s="68">
        <v>0.15</v>
      </c>
      <c r="W18" s="66">
        <f>X18*200/150</f>
        <v>0.02666666666666667</v>
      </c>
      <c r="X18" s="105">
        <v>0.02</v>
      </c>
      <c r="Y18" s="53"/>
      <c r="Z18" s="53"/>
      <c r="AA18" s="53"/>
      <c r="AB18" s="53"/>
      <c r="AC18" s="53"/>
      <c r="AD18" s="53"/>
      <c r="AE18" s="53"/>
    </row>
    <row r="19" spans="1:31" ht="15" customHeight="1">
      <c r="A19" s="22"/>
      <c r="B19" s="23" t="s">
        <v>7</v>
      </c>
      <c r="C19" s="43"/>
      <c r="D19" s="43"/>
      <c r="E19" s="17">
        <f>SUM(E15:E18)</f>
        <v>18.5</v>
      </c>
      <c r="F19" s="17">
        <f aca="true" t="shared" si="0" ref="F19:T19">SUM(F15:F18)</f>
        <v>13.11</v>
      </c>
      <c r="G19" s="17">
        <f t="shared" si="0"/>
        <v>8.24</v>
      </c>
      <c r="H19" s="17">
        <f t="shared" si="0"/>
        <v>6.88</v>
      </c>
      <c r="I19" s="17">
        <f t="shared" si="0"/>
        <v>43.849999999999994</v>
      </c>
      <c r="J19" s="17">
        <f t="shared" si="0"/>
        <v>30.3</v>
      </c>
      <c r="K19" s="17">
        <f t="shared" si="0"/>
        <v>103.87</v>
      </c>
      <c r="L19" s="17">
        <f t="shared" si="0"/>
        <v>80.5</v>
      </c>
      <c r="M19" s="17">
        <f t="shared" si="0"/>
        <v>841.03</v>
      </c>
      <c r="N19" s="17">
        <f t="shared" si="0"/>
        <v>620.7</v>
      </c>
      <c r="O19" s="17">
        <f t="shared" si="0"/>
        <v>0.28</v>
      </c>
      <c r="P19" s="17">
        <f t="shared" si="0"/>
        <v>0.19666666666666666</v>
      </c>
      <c r="Q19" s="17">
        <f t="shared" si="0"/>
        <v>0.16</v>
      </c>
      <c r="R19" s="17">
        <f t="shared" si="0"/>
        <v>0.11</v>
      </c>
      <c r="S19" s="17">
        <f t="shared" si="0"/>
        <v>2.31</v>
      </c>
      <c r="T19" s="17">
        <f t="shared" si="0"/>
        <v>1.7400000000000002</v>
      </c>
      <c r="U19" s="17">
        <f aca="true" t="shared" si="1" ref="U19:AB19">SUM(U15:U18)</f>
        <v>143.34666666666664</v>
      </c>
      <c r="V19" s="17">
        <f t="shared" si="1"/>
        <v>95.71000000000001</v>
      </c>
      <c r="W19" s="17">
        <f t="shared" si="1"/>
        <v>2.3666666666666667</v>
      </c>
      <c r="X19" s="17">
        <f t="shared" si="1"/>
        <v>1.6400000000000003</v>
      </c>
      <c r="Y19" s="17">
        <f t="shared" si="1"/>
        <v>0</v>
      </c>
      <c r="Z19" s="17">
        <f t="shared" si="1"/>
        <v>0</v>
      </c>
      <c r="AA19" s="17">
        <f t="shared" si="1"/>
        <v>0</v>
      </c>
      <c r="AB19" s="17">
        <f t="shared" si="1"/>
        <v>0</v>
      </c>
      <c r="AC19" s="58"/>
      <c r="AD19" s="53"/>
      <c r="AE19" s="53"/>
    </row>
    <row r="20" spans="1:31" ht="15" customHeight="1">
      <c r="A20" s="22"/>
      <c r="B20" s="91" t="s">
        <v>8</v>
      </c>
      <c r="C20" s="43"/>
      <c r="D20" s="43"/>
      <c r="E20" s="28"/>
      <c r="F20" s="28"/>
      <c r="G20" s="28"/>
      <c r="H20" s="29"/>
      <c r="I20" s="29"/>
      <c r="J20" s="29"/>
      <c r="K20" s="29"/>
      <c r="L20" s="29"/>
      <c r="M20" s="29"/>
      <c r="N20" s="29"/>
      <c r="O20" s="41"/>
      <c r="P20" s="46"/>
      <c r="Q20" s="46"/>
      <c r="R20" s="46"/>
      <c r="S20" s="46"/>
      <c r="T20" s="46"/>
      <c r="U20" s="46"/>
      <c r="V20" s="46"/>
      <c r="W20" s="46"/>
      <c r="X20" s="73"/>
      <c r="Y20" s="54"/>
      <c r="Z20" s="53"/>
      <c r="AA20" s="53"/>
      <c r="AB20" s="53"/>
      <c r="AC20" s="53"/>
      <c r="AD20" s="53"/>
      <c r="AE20" s="53"/>
    </row>
    <row r="21" spans="1:31" s="1" customFormat="1" ht="15" customHeight="1">
      <c r="A21" s="120" t="s">
        <v>51</v>
      </c>
      <c r="B21" s="64" t="s">
        <v>58</v>
      </c>
      <c r="C21" s="65" t="s">
        <v>102</v>
      </c>
      <c r="D21" s="65" t="s">
        <v>102</v>
      </c>
      <c r="E21" s="61">
        <v>3.95</v>
      </c>
      <c r="F21" s="61">
        <v>3.95</v>
      </c>
      <c r="G21" s="66">
        <v>0</v>
      </c>
      <c r="H21" s="68">
        <v>0</v>
      </c>
      <c r="I21" s="66">
        <f>J21*180/150</f>
        <v>0</v>
      </c>
      <c r="J21" s="68">
        <v>0</v>
      </c>
      <c r="K21" s="66">
        <v>10.2</v>
      </c>
      <c r="L21" s="68">
        <v>10.2</v>
      </c>
      <c r="M21" s="66">
        <v>40.8</v>
      </c>
      <c r="N21" s="68">
        <v>40.8</v>
      </c>
      <c r="O21" s="66">
        <f>P21*180/150</f>
        <v>0</v>
      </c>
      <c r="P21" s="68">
        <v>0</v>
      </c>
      <c r="Q21" s="66">
        <f>R21*180/150</f>
        <v>0.024</v>
      </c>
      <c r="R21" s="68">
        <v>0.02</v>
      </c>
      <c r="S21" s="66">
        <v>3.4</v>
      </c>
      <c r="T21" s="68">
        <v>3.4</v>
      </c>
      <c r="U21" s="66">
        <f>V21*180/150</f>
        <v>9.996</v>
      </c>
      <c r="V21" s="68">
        <v>8.33</v>
      </c>
      <c r="W21" s="66">
        <f>X21*180/150</f>
        <v>0.252</v>
      </c>
      <c r="X21" s="105">
        <v>0.21</v>
      </c>
      <c r="Y21" s="57"/>
      <c r="Z21" s="57"/>
      <c r="AA21" s="57"/>
      <c r="AB21" s="57"/>
      <c r="AC21" s="57"/>
      <c r="AD21" s="57"/>
      <c r="AE21" s="57"/>
    </row>
    <row r="22" spans="1:31" ht="15" customHeight="1">
      <c r="A22" s="22"/>
      <c r="B22" s="23" t="s">
        <v>7</v>
      </c>
      <c r="C22" s="43"/>
      <c r="D22" s="43"/>
      <c r="E22" s="17">
        <f>SUM(E21)</f>
        <v>3.95</v>
      </c>
      <c r="F22" s="17">
        <f aca="true" t="shared" si="2" ref="F22:T22">SUM(F21)</f>
        <v>3.95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2"/>
        <v>0</v>
      </c>
      <c r="K22" s="17">
        <f t="shared" si="2"/>
        <v>10.2</v>
      </c>
      <c r="L22" s="17">
        <f t="shared" si="2"/>
        <v>10.2</v>
      </c>
      <c r="M22" s="17">
        <f t="shared" si="2"/>
        <v>40.8</v>
      </c>
      <c r="N22" s="17">
        <f t="shared" si="2"/>
        <v>40.8</v>
      </c>
      <c r="O22" s="17">
        <f t="shared" si="2"/>
        <v>0</v>
      </c>
      <c r="P22" s="17">
        <f t="shared" si="2"/>
        <v>0</v>
      </c>
      <c r="Q22" s="17">
        <f t="shared" si="2"/>
        <v>0.024</v>
      </c>
      <c r="R22" s="17">
        <f t="shared" si="2"/>
        <v>0.02</v>
      </c>
      <c r="S22" s="17">
        <f t="shared" si="2"/>
        <v>3.4</v>
      </c>
      <c r="T22" s="17">
        <f t="shared" si="2"/>
        <v>3.4</v>
      </c>
      <c r="U22" s="17">
        <f>SUM(U21)</f>
        <v>9.996</v>
      </c>
      <c r="V22" s="17">
        <f>SUM(V21)</f>
        <v>8.33</v>
      </c>
      <c r="W22" s="17">
        <f>SUM(W21)</f>
        <v>0.252</v>
      </c>
      <c r="X22" s="17">
        <f>SUM(X21)</f>
        <v>0.21</v>
      </c>
      <c r="Y22" s="72">
        <f>SUM(Y21)</f>
        <v>0</v>
      </c>
      <c r="Z22" s="58"/>
      <c r="AA22" s="58"/>
      <c r="AB22" s="58"/>
      <c r="AC22" s="58"/>
      <c r="AD22" s="53"/>
      <c r="AE22" s="53"/>
    </row>
    <row r="23" spans="1:31" ht="15" customHeight="1">
      <c r="A23" s="22"/>
      <c r="B23" s="91" t="s">
        <v>9</v>
      </c>
      <c r="C23" s="43"/>
      <c r="D23" s="43"/>
      <c r="E23" s="28"/>
      <c r="F23" s="28"/>
      <c r="G23" s="28"/>
      <c r="H23" s="29"/>
      <c r="I23" s="29"/>
      <c r="J23" s="29"/>
      <c r="K23" s="29"/>
      <c r="L23" s="29"/>
      <c r="M23" s="29"/>
      <c r="N23" s="29"/>
      <c r="O23" s="41"/>
      <c r="P23" s="46"/>
      <c r="Q23" s="46"/>
      <c r="R23" s="46"/>
      <c r="S23" s="46"/>
      <c r="T23" s="46"/>
      <c r="U23" s="46"/>
      <c r="V23" s="46"/>
      <c r="W23" s="46"/>
      <c r="X23" s="73"/>
      <c r="Y23" s="54"/>
      <c r="Z23" s="53"/>
      <c r="AA23" s="53"/>
      <c r="AB23" s="53"/>
      <c r="AC23" s="53"/>
      <c r="AD23" s="53"/>
      <c r="AE23" s="53"/>
    </row>
    <row r="24" spans="1:29" ht="15" customHeight="1">
      <c r="A24" s="120" t="s">
        <v>147</v>
      </c>
      <c r="B24" s="110" t="s">
        <v>148</v>
      </c>
      <c r="C24" s="65" t="s">
        <v>30</v>
      </c>
      <c r="D24" s="65" t="s">
        <v>87</v>
      </c>
      <c r="E24" s="61">
        <v>1.54</v>
      </c>
      <c r="F24" s="61">
        <v>1.29</v>
      </c>
      <c r="G24" s="61">
        <v>0.6</v>
      </c>
      <c r="H24" s="62">
        <f>G24*50/60</f>
        <v>0.5</v>
      </c>
      <c r="I24" s="61">
        <v>3</v>
      </c>
      <c r="J24" s="62">
        <f>I24*50/60</f>
        <v>2.5</v>
      </c>
      <c r="K24" s="61">
        <v>6.12</v>
      </c>
      <c r="L24" s="62">
        <f>K24*50/60</f>
        <v>5.1</v>
      </c>
      <c r="M24" s="61">
        <v>54</v>
      </c>
      <c r="N24" s="62">
        <f>M24*50/60</f>
        <v>45</v>
      </c>
      <c r="O24" s="62"/>
      <c r="P24" s="62"/>
      <c r="Q24" s="62"/>
      <c r="R24" s="62"/>
      <c r="S24" s="61">
        <v>13.44</v>
      </c>
      <c r="T24" s="62">
        <f>S24*50/60</f>
        <v>11.2</v>
      </c>
      <c r="U24" s="62">
        <v>13.18</v>
      </c>
      <c r="V24" s="62">
        <f>U24*45/60</f>
        <v>9.885</v>
      </c>
      <c r="W24" s="62">
        <v>0.62</v>
      </c>
      <c r="X24" s="62">
        <f>W24*45/60</f>
        <v>0.46499999999999997</v>
      </c>
      <c r="Z24" s="53"/>
      <c r="AA24" s="53"/>
      <c r="AB24" s="53"/>
      <c r="AC24" s="53"/>
    </row>
    <row r="25" spans="1:24" s="7" customFormat="1" ht="30.75" customHeight="1">
      <c r="A25" s="133" t="s">
        <v>105</v>
      </c>
      <c r="B25" s="67" t="s">
        <v>106</v>
      </c>
      <c r="C25" s="65" t="s">
        <v>61</v>
      </c>
      <c r="D25" s="65" t="s">
        <v>62</v>
      </c>
      <c r="E25" s="140">
        <v>12.15</v>
      </c>
      <c r="F25" s="61">
        <v>11.37</v>
      </c>
      <c r="G25" s="66">
        <v>6.72</v>
      </c>
      <c r="H25" s="66">
        <v>4.61</v>
      </c>
      <c r="I25" s="66">
        <v>8.51</v>
      </c>
      <c r="J25" s="66">
        <v>4.77</v>
      </c>
      <c r="K25" s="66">
        <v>20.31</v>
      </c>
      <c r="L25" s="66">
        <v>17.89</v>
      </c>
      <c r="M25" s="66">
        <v>140.12</v>
      </c>
      <c r="N25" s="66">
        <v>115.5</v>
      </c>
      <c r="O25" s="71">
        <v>0.14</v>
      </c>
      <c r="P25" s="80">
        <v>0.11</v>
      </c>
      <c r="Q25" s="71">
        <v>0.11</v>
      </c>
      <c r="R25" s="80">
        <v>0.11</v>
      </c>
      <c r="S25" s="71">
        <v>10.78</v>
      </c>
      <c r="T25" s="80">
        <v>10.78</v>
      </c>
      <c r="U25" s="71">
        <v>18.09</v>
      </c>
      <c r="V25" s="80">
        <v>18.09</v>
      </c>
      <c r="W25" s="71">
        <v>1.07</v>
      </c>
      <c r="X25" s="80">
        <v>1.07</v>
      </c>
    </row>
    <row r="26" spans="1:29" s="7" customFormat="1" ht="15" customHeight="1">
      <c r="A26" s="120" t="s">
        <v>114</v>
      </c>
      <c r="B26" s="64" t="s">
        <v>135</v>
      </c>
      <c r="C26" s="65" t="s">
        <v>10</v>
      </c>
      <c r="D26" s="65" t="s">
        <v>10</v>
      </c>
      <c r="E26" s="61">
        <v>19.72</v>
      </c>
      <c r="F26" s="61">
        <v>19.72</v>
      </c>
      <c r="G26" s="61">
        <v>10</v>
      </c>
      <c r="H26" s="61">
        <v>10</v>
      </c>
      <c r="I26" s="62">
        <v>3</v>
      </c>
      <c r="J26" s="62">
        <v>3</v>
      </c>
      <c r="K26" s="62">
        <v>6</v>
      </c>
      <c r="L26" s="62">
        <v>6</v>
      </c>
      <c r="M26" s="62">
        <v>90</v>
      </c>
      <c r="N26" s="62">
        <v>90</v>
      </c>
      <c r="O26" s="62">
        <v>0.07</v>
      </c>
      <c r="P26" s="62">
        <v>0.07</v>
      </c>
      <c r="Q26" s="62">
        <v>0.09</v>
      </c>
      <c r="R26" s="62">
        <v>0.09</v>
      </c>
      <c r="S26" s="62">
        <v>0.35</v>
      </c>
      <c r="T26" s="62">
        <v>0.35</v>
      </c>
      <c r="U26" s="69">
        <v>5.85</v>
      </c>
      <c r="V26" s="69">
        <v>5.85</v>
      </c>
      <c r="W26" s="69">
        <v>0.85</v>
      </c>
      <c r="X26" s="69">
        <v>0.85</v>
      </c>
      <c r="Z26" s="76"/>
      <c r="AA26" s="76"/>
      <c r="AB26" s="76"/>
      <c r="AC26" s="76"/>
    </row>
    <row r="27" spans="1:31" ht="15.75" customHeight="1">
      <c r="A27" s="120" t="s">
        <v>28</v>
      </c>
      <c r="B27" s="64" t="s">
        <v>82</v>
      </c>
      <c r="C27" s="65" t="s">
        <v>69</v>
      </c>
      <c r="D27" s="65" t="s">
        <v>69</v>
      </c>
      <c r="E27" s="61">
        <v>3.88</v>
      </c>
      <c r="F27" s="61">
        <v>3.88</v>
      </c>
      <c r="G27" s="62">
        <v>4.5</v>
      </c>
      <c r="H27" s="62">
        <f>G27*130/150</f>
        <v>3.9</v>
      </c>
      <c r="I27" s="62">
        <v>6.75</v>
      </c>
      <c r="J27" s="62">
        <f>I27*130/150</f>
        <v>5.85</v>
      </c>
      <c r="K27" s="62">
        <v>22.26</v>
      </c>
      <c r="L27" s="62">
        <f>K27*130/150</f>
        <v>19.292</v>
      </c>
      <c r="M27" s="62">
        <v>168.15</v>
      </c>
      <c r="N27" s="62">
        <f>M27*130/150</f>
        <v>145.73</v>
      </c>
      <c r="O27" s="62">
        <f>P27*130/100</f>
        <v>0.039</v>
      </c>
      <c r="P27" s="62">
        <v>0.03</v>
      </c>
      <c r="Q27" s="62">
        <f>R27*130/100</f>
        <v>0.013000000000000001</v>
      </c>
      <c r="R27" s="62">
        <v>0.01</v>
      </c>
      <c r="S27" s="62">
        <f>T27*130/100</f>
        <v>0</v>
      </c>
      <c r="T27" s="62">
        <v>0</v>
      </c>
      <c r="U27" s="62">
        <f>V27*130/100</f>
        <v>11.973000000000003</v>
      </c>
      <c r="V27" s="62">
        <v>9.21</v>
      </c>
      <c r="W27" s="62">
        <f>X27*130/100</f>
        <v>0.9620000000000001</v>
      </c>
      <c r="X27" s="62">
        <v>0.74</v>
      </c>
      <c r="Y27" s="158"/>
      <c r="Z27" s="159"/>
      <c r="AA27" s="159"/>
      <c r="AB27" s="159"/>
      <c r="AC27" s="53"/>
      <c r="AD27" s="53"/>
      <c r="AE27" s="53"/>
    </row>
    <row r="28" spans="1:31" ht="27" customHeight="1">
      <c r="A28" s="121" t="s">
        <v>90</v>
      </c>
      <c r="B28" s="110" t="s">
        <v>84</v>
      </c>
      <c r="C28" s="106">
        <v>200</v>
      </c>
      <c r="D28" s="106">
        <v>150</v>
      </c>
      <c r="E28" s="61">
        <v>1.35</v>
      </c>
      <c r="F28" s="61">
        <v>1.01</v>
      </c>
      <c r="G28" s="61">
        <v>0.6</v>
      </c>
      <c r="H28" s="62">
        <f>G28*150/200</f>
        <v>0.45</v>
      </c>
      <c r="I28" s="61">
        <v>0</v>
      </c>
      <c r="J28" s="62">
        <f>I28*150/200</f>
        <v>0</v>
      </c>
      <c r="K28" s="61">
        <v>31.4</v>
      </c>
      <c r="L28" s="62">
        <f>K28*150/200</f>
        <v>23.55</v>
      </c>
      <c r="M28" s="61">
        <v>124</v>
      </c>
      <c r="N28" s="62">
        <f>M28*150/200</f>
        <v>93</v>
      </c>
      <c r="O28" s="62">
        <v>0.02</v>
      </c>
      <c r="P28" s="62">
        <f>O28*150/200</f>
        <v>0.015</v>
      </c>
      <c r="Q28" s="62">
        <v>0.03</v>
      </c>
      <c r="R28" s="62">
        <f>Q28*150/200</f>
        <v>0.0225</v>
      </c>
      <c r="S28" s="62">
        <v>0.45</v>
      </c>
      <c r="T28" s="62">
        <f>S28*150/200</f>
        <v>0.3375</v>
      </c>
      <c r="U28" s="62">
        <v>12.3</v>
      </c>
      <c r="V28" s="62">
        <f>U28*150/200</f>
        <v>9.225</v>
      </c>
      <c r="W28" s="70">
        <v>2</v>
      </c>
      <c r="X28" s="82">
        <f>W28*150/200</f>
        <v>1.5</v>
      </c>
      <c r="Y28" s="53"/>
      <c r="Z28" s="53"/>
      <c r="AA28" s="53"/>
      <c r="AB28" s="53"/>
      <c r="AC28" s="53"/>
      <c r="AD28" s="53"/>
      <c r="AE28" s="53"/>
    </row>
    <row r="29" spans="1:31" s="16" customFormat="1" ht="15" customHeight="1">
      <c r="A29" s="119"/>
      <c r="B29" s="23" t="s">
        <v>11</v>
      </c>
      <c r="C29" s="43" t="s">
        <v>14</v>
      </c>
      <c r="D29" s="43" t="s">
        <v>14</v>
      </c>
      <c r="E29" s="28">
        <v>1.22</v>
      </c>
      <c r="F29" s="28">
        <v>1.22</v>
      </c>
      <c r="G29" s="28">
        <v>1.6</v>
      </c>
      <c r="H29" s="28">
        <v>1.6</v>
      </c>
      <c r="I29" s="28">
        <v>0.4</v>
      </c>
      <c r="J29" s="28">
        <v>0.4</v>
      </c>
      <c r="K29" s="28">
        <v>10</v>
      </c>
      <c r="L29" s="28">
        <v>10</v>
      </c>
      <c r="M29" s="29">
        <v>54</v>
      </c>
      <c r="N29" s="29">
        <v>54</v>
      </c>
      <c r="O29" s="42">
        <v>0.04</v>
      </c>
      <c r="P29" s="47">
        <v>0.04</v>
      </c>
      <c r="Q29" s="42">
        <v>0.02</v>
      </c>
      <c r="R29" s="47">
        <v>0.02</v>
      </c>
      <c r="S29" s="42">
        <v>0</v>
      </c>
      <c r="T29" s="47">
        <v>0</v>
      </c>
      <c r="U29" s="42">
        <v>7.4</v>
      </c>
      <c r="V29" s="47">
        <v>7.4</v>
      </c>
      <c r="W29" s="42">
        <v>0.56</v>
      </c>
      <c r="X29" s="47">
        <v>0.56</v>
      </c>
      <c r="Y29" s="56"/>
      <c r="Z29" s="56"/>
      <c r="AA29" s="56"/>
      <c r="AB29" s="56"/>
      <c r="AC29" s="56"/>
      <c r="AD29" s="56"/>
      <c r="AE29" s="56"/>
    </row>
    <row r="30" spans="1:31" ht="15" customHeight="1">
      <c r="A30" s="119"/>
      <c r="B30" s="23" t="s">
        <v>47</v>
      </c>
      <c r="C30" s="43" t="s">
        <v>70</v>
      </c>
      <c r="D30" s="43" t="s">
        <v>71</v>
      </c>
      <c r="E30" s="28">
        <v>2.3</v>
      </c>
      <c r="F30" s="28">
        <v>2.01</v>
      </c>
      <c r="G30" s="28">
        <v>3.25</v>
      </c>
      <c r="H30" s="29">
        <v>2.84</v>
      </c>
      <c r="I30" s="29">
        <v>0.46</v>
      </c>
      <c r="J30" s="29">
        <f>I30*40.6/46</f>
        <v>0.406</v>
      </c>
      <c r="K30" s="29">
        <v>20.88</v>
      </c>
      <c r="L30" s="29">
        <v>18.27</v>
      </c>
      <c r="M30" s="29">
        <v>102.08</v>
      </c>
      <c r="N30" s="29">
        <v>89.32</v>
      </c>
      <c r="O30" s="40">
        <v>0.06</v>
      </c>
      <c r="P30" s="44">
        <v>0.04</v>
      </c>
      <c r="Q30" s="40">
        <v>0.04</v>
      </c>
      <c r="R30" s="44">
        <v>0.03</v>
      </c>
      <c r="S30" s="40">
        <v>0</v>
      </c>
      <c r="T30" s="29">
        <f>S30*40.6/46</f>
        <v>0</v>
      </c>
      <c r="U30" s="42">
        <v>17</v>
      </c>
      <c r="V30" s="47">
        <v>13.6</v>
      </c>
      <c r="W30" s="42">
        <v>1.15</v>
      </c>
      <c r="X30" s="47">
        <v>0.92</v>
      </c>
      <c r="Y30" s="53"/>
      <c r="Z30" s="53"/>
      <c r="AA30" s="53"/>
      <c r="AB30" s="53"/>
      <c r="AC30" s="53"/>
      <c r="AD30" s="53"/>
      <c r="AE30" s="53"/>
    </row>
    <row r="31" spans="1:31" ht="15" customHeight="1">
      <c r="A31" s="22"/>
      <c r="B31" s="23" t="s">
        <v>7</v>
      </c>
      <c r="C31" s="43"/>
      <c r="D31" s="43"/>
      <c r="E31" s="17">
        <f>SUM(E24:E30)</f>
        <v>42.16</v>
      </c>
      <c r="F31" s="17">
        <f aca="true" t="shared" si="3" ref="F31:T31">SUM(F24:F30)</f>
        <v>40.49999999999999</v>
      </c>
      <c r="G31" s="17">
        <f t="shared" si="3"/>
        <v>27.270000000000003</v>
      </c>
      <c r="H31" s="17">
        <f t="shared" si="3"/>
        <v>23.9</v>
      </c>
      <c r="I31" s="17">
        <f t="shared" si="3"/>
        <v>22.119999999999997</v>
      </c>
      <c r="J31" s="17">
        <f t="shared" si="3"/>
        <v>16.925999999999995</v>
      </c>
      <c r="K31" s="17">
        <f t="shared" si="3"/>
        <v>116.97</v>
      </c>
      <c r="L31" s="17">
        <f t="shared" si="3"/>
        <v>100.102</v>
      </c>
      <c r="M31" s="17">
        <f t="shared" si="3"/>
        <v>732.35</v>
      </c>
      <c r="N31" s="17">
        <f t="shared" si="3"/>
        <v>632.55</v>
      </c>
      <c r="O31" s="17">
        <f t="shared" si="3"/>
        <v>0.369</v>
      </c>
      <c r="P31" s="17">
        <f t="shared" si="3"/>
        <v>0.30499999999999994</v>
      </c>
      <c r="Q31" s="17">
        <f t="shared" si="3"/>
        <v>0.303</v>
      </c>
      <c r="R31" s="17">
        <f t="shared" si="3"/>
        <v>0.2825</v>
      </c>
      <c r="S31" s="17">
        <f t="shared" si="3"/>
        <v>25.02</v>
      </c>
      <c r="T31" s="17">
        <f t="shared" si="3"/>
        <v>22.667499999999997</v>
      </c>
      <c r="U31" s="17">
        <f>SUM(U25:U30)</f>
        <v>72.613</v>
      </c>
      <c r="V31" s="17">
        <f>SUM(V25:V30)</f>
        <v>63.375</v>
      </c>
      <c r="W31" s="17">
        <f>SUM(W25:W30)</f>
        <v>6.5920000000000005</v>
      </c>
      <c r="X31" s="17">
        <f>SUM(X25:X30)</f>
        <v>5.640000000000001</v>
      </c>
      <c r="Y31" s="63"/>
      <c r="Z31" s="58"/>
      <c r="AA31" s="58"/>
      <c r="AB31" s="58"/>
      <c r="AC31" s="58"/>
      <c r="AD31" s="53"/>
      <c r="AE31" s="53"/>
    </row>
    <row r="32" spans="1:31" ht="15" customHeight="1">
      <c r="A32" s="22"/>
      <c r="B32" s="91" t="s">
        <v>12</v>
      </c>
      <c r="C32" s="43"/>
      <c r="D32" s="43"/>
      <c r="E32" s="28"/>
      <c r="F32" s="28"/>
      <c r="G32" s="28"/>
      <c r="H32" s="29"/>
      <c r="I32" s="29"/>
      <c r="J32" s="29"/>
      <c r="K32" s="29"/>
      <c r="L32" s="29"/>
      <c r="M32" s="29"/>
      <c r="N32" s="29"/>
      <c r="O32" s="41"/>
      <c r="P32" s="46"/>
      <c r="Q32" s="46"/>
      <c r="R32" s="46"/>
      <c r="S32" s="46"/>
      <c r="T32" s="46"/>
      <c r="U32" s="46"/>
      <c r="V32" s="46"/>
      <c r="W32" s="46"/>
      <c r="X32" s="73"/>
      <c r="Y32" s="54"/>
      <c r="Z32" s="53"/>
      <c r="AA32" s="53"/>
      <c r="AB32" s="53"/>
      <c r="AC32" s="53"/>
      <c r="AD32" s="53"/>
      <c r="AE32" s="53"/>
    </row>
    <row r="33" spans="1:31" ht="15" customHeight="1">
      <c r="A33" s="119" t="s">
        <v>23</v>
      </c>
      <c r="B33" s="23" t="s">
        <v>20</v>
      </c>
      <c r="C33" s="43" t="s">
        <v>31</v>
      </c>
      <c r="D33" s="43" t="s">
        <v>31</v>
      </c>
      <c r="E33" s="28">
        <v>10.36</v>
      </c>
      <c r="F33" s="28">
        <v>10.36</v>
      </c>
      <c r="G33" s="28">
        <v>5.31</v>
      </c>
      <c r="H33" s="29">
        <v>5.31</v>
      </c>
      <c r="I33" s="28">
        <v>4.5</v>
      </c>
      <c r="J33" s="29">
        <v>4.5</v>
      </c>
      <c r="K33" s="28">
        <v>8.91</v>
      </c>
      <c r="L33" s="29">
        <v>8.91</v>
      </c>
      <c r="M33" s="28">
        <v>97.38</v>
      </c>
      <c r="N33" s="29">
        <v>97.38</v>
      </c>
      <c r="O33" s="28">
        <v>0.07</v>
      </c>
      <c r="P33" s="29">
        <v>0.07</v>
      </c>
      <c r="Q33" s="28">
        <v>0.3</v>
      </c>
      <c r="R33" s="29">
        <v>0.3</v>
      </c>
      <c r="S33" s="28">
        <v>2.46</v>
      </c>
      <c r="T33" s="29">
        <v>2.46</v>
      </c>
      <c r="U33" s="28">
        <v>275.74</v>
      </c>
      <c r="V33" s="29">
        <v>275.74</v>
      </c>
      <c r="W33" s="28">
        <v>0.23</v>
      </c>
      <c r="X33" s="29">
        <v>0.23</v>
      </c>
      <c r="Y33" s="57"/>
      <c r="Z33" s="57"/>
      <c r="AA33" s="57"/>
      <c r="AB33" s="57"/>
      <c r="AC33" s="57"/>
      <c r="AD33" s="57"/>
      <c r="AE33" s="53"/>
    </row>
    <row r="34" spans="1:32" ht="15" customHeight="1">
      <c r="A34" s="60"/>
      <c r="B34" s="64" t="s">
        <v>7</v>
      </c>
      <c r="C34" s="111"/>
      <c r="D34" s="111"/>
      <c r="E34" s="114">
        <f>SUM(E33)</f>
        <v>10.36</v>
      </c>
      <c r="F34" s="114">
        <f aca="true" t="shared" si="4" ref="F34:T34">SUM(F33)</f>
        <v>10.36</v>
      </c>
      <c r="G34" s="114">
        <f t="shared" si="4"/>
        <v>5.31</v>
      </c>
      <c r="H34" s="114">
        <f t="shared" si="4"/>
        <v>5.31</v>
      </c>
      <c r="I34" s="114">
        <f t="shared" si="4"/>
        <v>4.5</v>
      </c>
      <c r="J34" s="114">
        <f t="shared" si="4"/>
        <v>4.5</v>
      </c>
      <c r="K34" s="114">
        <f t="shared" si="4"/>
        <v>8.91</v>
      </c>
      <c r="L34" s="114">
        <f t="shared" si="4"/>
        <v>8.91</v>
      </c>
      <c r="M34" s="114">
        <f t="shared" si="4"/>
        <v>97.38</v>
      </c>
      <c r="N34" s="114">
        <f t="shared" si="4"/>
        <v>97.38</v>
      </c>
      <c r="O34" s="114">
        <f t="shared" si="4"/>
        <v>0.07</v>
      </c>
      <c r="P34" s="114">
        <f t="shared" si="4"/>
        <v>0.07</v>
      </c>
      <c r="Q34" s="114">
        <f t="shared" si="4"/>
        <v>0.3</v>
      </c>
      <c r="R34" s="114">
        <f t="shared" si="4"/>
        <v>0.3</v>
      </c>
      <c r="S34" s="114">
        <f t="shared" si="4"/>
        <v>2.46</v>
      </c>
      <c r="T34" s="114">
        <f t="shared" si="4"/>
        <v>2.46</v>
      </c>
      <c r="U34" s="114">
        <f aca="true" t="shared" si="5" ref="U34:AB34">SUM(U33)</f>
        <v>275.74</v>
      </c>
      <c r="V34" s="114">
        <f t="shared" si="5"/>
        <v>275.74</v>
      </c>
      <c r="W34" s="114">
        <f t="shared" si="5"/>
        <v>0.23</v>
      </c>
      <c r="X34" s="114">
        <f t="shared" si="5"/>
        <v>0.23</v>
      </c>
      <c r="Y34" s="114">
        <f t="shared" si="5"/>
        <v>0</v>
      </c>
      <c r="Z34" s="114">
        <f t="shared" si="5"/>
        <v>0</v>
      </c>
      <c r="AA34" s="114">
        <f t="shared" si="5"/>
        <v>0</v>
      </c>
      <c r="AB34" s="114">
        <f t="shared" si="5"/>
        <v>0</v>
      </c>
      <c r="AC34" s="58"/>
      <c r="AD34" s="53"/>
      <c r="AE34" s="53"/>
      <c r="AF34" s="53"/>
    </row>
    <row r="35" spans="1:31" ht="15" customHeight="1">
      <c r="A35" s="22"/>
      <c r="B35" s="91" t="s">
        <v>13</v>
      </c>
      <c r="C35" s="43"/>
      <c r="D35" s="43"/>
      <c r="E35" s="28"/>
      <c r="F35" s="28"/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74"/>
      <c r="Y35" s="59"/>
      <c r="Z35" s="57"/>
      <c r="AA35" s="57"/>
      <c r="AB35" s="57"/>
      <c r="AC35" s="57"/>
      <c r="AD35" s="57"/>
      <c r="AE35" s="53"/>
    </row>
    <row r="36" spans="1:31" s="16" customFormat="1" ht="38.25">
      <c r="A36" s="152" t="s">
        <v>109</v>
      </c>
      <c r="B36" s="64" t="s">
        <v>110</v>
      </c>
      <c r="C36" s="136" t="s">
        <v>79</v>
      </c>
      <c r="D36" s="136" t="s">
        <v>59</v>
      </c>
      <c r="E36" s="153">
        <v>48.88</v>
      </c>
      <c r="F36" s="153">
        <v>34.99</v>
      </c>
      <c r="G36" s="153">
        <v>20.86</v>
      </c>
      <c r="H36" s="154">
        <v>14.1</v>
      </c>
      <c r="I36" s="154">
        <v>21.4</v>
      </c>
      <c r="J36" s="154">
        <v>14.72</v>
      </c>
      <c r="K36" s="154">
        <v>25.76</v>
      </c>
      <c r="L36" s="154">
        <v>18.5</v>
      </c>
      <c r="M36" s="154">
        <v>379.18</v>
      </c>
      <c r="N36" s="154">
        <v>262.98</v>
      </c>
      <c r="O36" s="155">
        <v>0.14</v>
      </c>
      <c r="P36" s="155">
        <v>0.11</v>
      </c>
      <c r="Q36" s="154">
        <v>0.1</v>
      </c>
      <c r="R36" s="155">
        <v>0.07</v>
      </c>
      <c r="S36" s="155">
        <v>2.076</v>
      </c>
      <c r="T36" s="155">
        <v>1.42</v>
      </c>
      <c r="U36" s="156"/>
      <c r="V36" s="156"/>
      <c r="W36" s="156"/>
      <c r="X36" s="157"/>
      <c r="Y36" s="56"/>
      <c r="Z36" s="56"/>
      <c r="AA36" s="56"/>
      <c r="AB36" s="56"/>
      <c r="AC36" s="56"/>
      <c r="AD36" s="56"/>
      <c r="AE36" s="56"/>
    </row>
    <row r="37" spans="1:31" ht="15" customHeight="1">
      <c r="A37" s="120" t="s">
        <v>76</v>
      </c>
      <c r="B37" s="67" t="s">
        <v>77</v>
      </c>
      <c r="C37" s="65" t="s">
        <v>5</v>
      </c>
      <c r="D37" s="65" t="s">
        <v>6</v>
      </c>
      <c r="E37" s="61">
        <v>0.5</v>
      </c>
      <c r="F37" s="61">
        <v>0.38</v>
      </c>
      <c r="G37" s="61">
        <v>0.18</v>
      </c>
      <c r="H37" s="62">
        <v>0.13</v>
      </c>
      <c r="I37" s="61">
        <f>J37*200/150</f>
        <v>0</v>
      </c>
      <c r="J37" s="62">
        <v>0</v>
      </c>
      <c r="K37" s="61">
        <v>4.78</v>
      </c>
      <c r="L37" s="62">
        <v>3.58</v>
      </c>
      <c r="M37" s="61">
        <v>19.9</v>
      </c>
      <c r="N37" s="62">
        <v>14.92</v>
      </c>
      <c r="O37" s="61">
        <f>P37*200/150</f>
        <v>0.013333333333333334</v>
      </c>
      <c r="P37" s="69">
        <v>0.01</v>
      </c>
      <c r="Q37" s="61">
        <f>R37*200/150</f>
        <v>0.013333333333333334</v>
      </c>
      <c r="R37" s="69">
        <v>0.01</v>
      </c>
      <c r="S37" s="61">
        <v>0.04</v>
      </c>
      <c r="T37" s="69">
        <v>0.03</v>
      </c>
      <c r="U37" s="61">
        <f>V37*200/150</f>
        <v>5.053333333333334</v>
      </c>
      <c r="V37" s="69">
        <v>3.79</v>
      </c>
      <c r="W37" s="61">
        <f>X37*200/150</f>
        <v>0.84</v>
      </c>
      <c r="X37" s="113">
        <v>0.63</v>
      </c>
      <c r="Y37" s="53"/>
      <c r="Z37" s="53"/>
      <c r="AA37" s="53"/>
      <c r="AB37" s="53"/>
      <c r="AC37" s="53"/>
      <c r="AD37" s="53"/>
      <c r="AE37" s="53"/>
    </row>
    <row r="38" spans="1:31" s="16" customFormat="1" ht="15" customHeight="1">
      <c r="A38" s="119"/>
      <c r="B38" s="23" t="s">
        <v>11</v>
      </c>
      <c r="C38" s="43" t="s">
        <v>14</v>
      </c>
      <c r="D38" s="43" t="s">
        <v>14</v>
      </c>
      <c r="E38" s="28">
        <v>1.22</v>
      </c>
      <c r="F38" s="28">
        <v>1.22</v>
      </c>
      <c r="G38" s="28">
        <v>1.6</v>
      </c>
      <c r="H38" s="28">
        <v>1.6</v>
      </c>
      <c r="I38" s="28">
        <v>0.4</v>
      </c>
      <c r="J38" s="28">
        <v>0.4</v>
      </c>
      <c r="K38" s="28">
        <v>10</v>
      </c>
      <c r="L38" s="28">
        <v>10</v>
      </c>
      <c r="M38" s="29">
        <v>54</v>
      </c>
      <c r="N38" s="29">
        <v>54</v>
      </c>
      <c r="O38" s="42">
        <v>0.04</v>
      </c>
      <c r="P38" s="47">
        <v>0.04</v>
      </c>
      <c r="Q38" s="42">
        <v>0.02</v>
      </c>
      <c r="R38" s="47">
        <v>0.02</v>
      </c>
      <c r="S38" s="42">
        <v>0</v>
      </c>
      <c r="T38" s="47">
        <v>0</v>
      </c>
      <c r="U38" s="42">
        <v>7.4</v>
      </c>
      <c r="V38" s="47">
        <v>7.4</v>
      </c>
      <c r="W38" s="42">
        <v>0.56</v>
      </c>
      <c r="X38" s="47">
        <v>0.56</v>
      </c>
      <c r="Y38" s="56"/>
      <c r="Z38" s="56"/>
      <c r="AA38" s="56"/>
      <c r="AB38" s="56"/>
      <c r="AC38" s="56"/>
      <c r="AD38" s="56"/>
      <c r="AE38" s="56"/>
    </row>
    <row r="39" spans="1:31" ht="15" customHeight="1">
      <c r="A39" s="22"/>
      <c r="B39" s="23" t="s">
        <v>7</v>
      </c>
      <c r="C39" s="43"/>
      <c r="D39" s="43"/>
      <c r="E39" s="17">
        <f>SUM(E36:E38)</f>
        <v>50.6</v>
      </c>
      <c r="F39" s="17">
        <f aca="true" t="shared" si="6" ref="F39:T39">SUM(F36:F38)</f>
        <v>36.59</v>
      </c>
      <c r="G39" s="17">
        <f t="shared" si="6"/>
        <v>22.64</v>
      </c>
      <c r="H39" s="17">
        <f t="shared" si="6"/>
        <v>15.83</v>
      </c>
      <c r="I39" s="17">
        <f t="shared" si="6"/>
        <v>21.799999999999997</v>
      </c>
      <c r="J39" s="17">
        <f t="shared" si="6"/>
        <v>15.120000000000001</v>
      </c>
      <c r="K39" s="17">
        <f t="shared" si="6"/>
        <v>40.540000000000006</v>
      </c>
      <c r="L39" s="17">
        <f t="shared" si="6"/>
        <v>32.08</v>
      </c>
      <c r="M39" s="17">
        <f t="shared" si="6"/>
        <v>453.08</v>
      </c>
      <c r="N39" s="17">
        <f t="shared" si="6"/>
        <v>331.90000000000003</v>
      </c>
      <c r="O39" s="17">
        <f t="shared" si="6"/>
        <v>0.19333333333333336</v>
      </c>
      <c r="P39" s="17">
        <f t="shared" si="6"/>
        <v>0.16</v>
      </c>
      <c r="Q39" s="17">
        <f t="shared" si="6"/>
        <v>0.13333333333333333</v>
      </c>
      <c r="R39" s="17">
        <f t="shared" si="6"/>
        <v>0.1</v>
      </c>
      <c r="S39" s="17">
        <f t="shared" si="6"/>
        <v>2.116</v>
      </c>
      <c r="T39" s="17">
        <f t="shared" si="6"/>
        <v>1.45</v>
      </c>
      <c r="U39" s="17">
        <f aca="true" t="shared" si="7" ref="U39:AB39">SUM(U37:U38)</f>
        <v>12.453333333333333</v>
      </c>
      <c r="V39" s="17">
        <f t="shared" si="7"/>
        <v>11.190000000000001</v>
      </c>
      <c r="W39" s="17">
        <f t="shared" si="7"/>
        <v>1.4</v>
      </c>
      <c r="X39" s="17">
        <f t="shared" si="7"/>
        <v>1.19</v>
      </c>
      <c r="Y39" s="17">
        <f t="shared" si="7"/>
        <v>0</v>
      </c>
      <c r="Z39" s="17">
        <f t="shared" si="7"/>
        <v>0</v>
      </c>
      <c r="AA39" s="17">
        <f t="shared" si="7"/>
        <v>0</v>
      </c>
      <c r="AB39" s="17">
        <f t="shared" si="7"/>
        <v>0</v>
      </c>
      <c r="AC39" s="58"/>
      <c r="AD39" s="53"/>
      <c r="AE39" s="53"/>
    </row>
    <row r="40" spans="1:31" ht="15" customHeight="1">
      <c r="A40" s="22"/>
      <c r="B40" s="23" t="s">
        <v>15</v>
      </c>
      <c r="C40" s="43"/>
      <c r="D40" s="43"/>
      <c r="E40" s="17">
        <f aca="true" t="shared" si="8" ref="E40:T40">SUM(E39,E34,E31,E22,E19)</f>
        <v>125.57000000000001</v>
      </c>
      <c r="F40" s="17">
        <f t="shared" si="8"/>
        <v>104.50999999999999</v>
      </c>
      <c r="G40" s="17">
        <f t="shared" si="8"/>
        <v>63.46</v>
      </c>
      <c r="H40" s="17">
        <f t="shared" si="8"/>
        <v>51.92</v>
      </c>
      <c r="I40" s="17">
        <f t="shared" si="8"/>
        <v>92.26999999999998</v>
      </c>
      <c r="J40" s="17">
        <f t="shared" si="8"/>
        <v>66.84599999999999</v>
      </c>
      <c r="K40" s="17">
        <f t="shared" si="8"/>
        <v>280.49</v>
      </c>
      <c r="L40" s="17">
        <f t="shared" si="8"/>
        <v>231.79199999999997</v>
      </c>
      <c r="M40" s="17">
        <f t="shared" si="8"/>
        <v>2164.64</v>
      </c>
      <c r="N40" s="17">
        <f t="shared" si="8"/>
        <v>1723.33</v>
      </c>
      <c r="O40" s="17">
        <f t="shared" si="8"/>
        <v>0.9123333333333334</v>
      </c>
      <c r="P40" s="17">
        <f t="shared" si="8"/>
        <v>0.7316666666666666</v>
      </c>
      <c r="Q40" s="17">
        <f t="shared" si="8"/>
        <v>0.9203333333333333</v>
      </c>
      <c r="R40" s="17">
        <f t="shared" si="8"/>
        <v>0.8125</v>
      </c>
      <c r="S40" s="17">
        <f t="shared" si="8"/>
        <v>35.306000000000004</v>
      </c>
      <c r="T40" s="17">
        <f t="shared" si="8"/>
        <v>31.717499999999994</v>
      </c>
      <c r="U40" s="17">
        <f>U39+U34+U31+U22+U19</f>
        <v>514.1489999999999</v>
      </c>
      <c r="V40" s="17">
        <f>V39+V34+V31+V22+V19</f>
        <v>454.345</v>
      </c>
      <c r="W40" s="17">
        <f>W39+W34+W31+W22+W19</f>
        <v>10.84066666666667</v>
      </c>
      <c r="X40" s="17">
        <f>X39+X34+X31+X22+X19</f>
        <v>8.91</v>
      </c>
      <c r="Y40" s="72">
        <f>Y39+Y34+Y31+Y22+Y19</f>
        <v>0</v>
      </c>
      <c r="Z40" s="58"/>
      <c r="AA40" s="58"/>
      <c r="AB40" s="58"/>
      <c r="AC40" s="58"/>
      <c r="AD40" s="53"/>
      <c r="AE40" s="53"/>
    </row>
    <row r="41" spans="1:31" ht="15" customHeight="1">
      <c r="A41" s="22"/>
      <c r="B41" s="90" t="s">
        <v>164</v>
      </c>
      <c r="C41" s="43"/>
      <c r="D41" s="43"/>
      <c r="E41" s="28"/>
      <c r="F41" s="28"/>
      <c r="G41" s="28"/>
      <c r="H41" s="29"/>
      <c r="I41" s="29"/>
      <c r="J41" s="29"/>
      <c r="K41" s="29"/>
      <c r="L41" s="29"/>
      <c r="M41" s="29"/>
      <c r="N41" s="29"/>
      <c r="O41" s="41"/>
      <c r="P41" s="41"/>
      <c r="Q41" s="41"/>
      <c r="R41" s="41"/>
      <c r="S41" s="41"/>
      <c r="T41" s="41"/>
      <c r="U41" s="41"/>
      <c r="V41" s="41"/>
      <c r="W41" s="41"/>
      <c r="X41" s="75"/>
      <c r="Y41" s="54"/>
      <c r="Z41" s="53"/>
      <c r="AA41" s="53"/>
      <c r="AB41" s="53"/>
      <c r="AC41" s="53"/>
      <c r="AD41" s="53"/>
      <c r="AE41" s="53"/>
    </row>
    <row r="42" spans="1:31" ht="15" customHeight="1">
      <c r="A42" s="22"/>
      <c r="B42" s="91" t="s">
        <v>4</v>
      </c>
      <c r="C42" s="43"/>
      <c r="D42" s="43"/>
      <c r="E42" s="28"/>
      <c r="F42" s="28"/>
      <c r="G42" s="28"/>
      <c r="H42" s="29"/>
      <c r="I42" s="29"/>
      <c r="J42" s="29"/>
      <c r="K42" s="29"/>
      <c r="L42" s="29"/>
      <c r="M42" s="29"/>
      <c r="N42" s="29"/>
      <c r="O42" s="41"/>
      <c r="P42" s="41"/>
      <c r="Q42" s="41"/>
      <c r="R42" s="41"/>
      <c r="S42" s="41"/>
      <c r="T42" s="41"/>
      <c r="U42" s="41"/>
      <c r="V42" s="41"/>
      <c r="W42" s="41"/>
      <c r="X42" s="75"/>
      <c r="Y42" s="54"/>
      <c r="Z42" s="53"/>
      <c r="AA42" s="53"/>
      <c r="AB42" s="53"/>
      <c r="AC42" s="53"/>
      <c r="AD42" s="53"/>
      <c r="AE42" s="53"/>
    </row>
    <row r="43" spans="1:30" s="1" customFormat="1" ht="14.25" customHeight="1">
      <c r="A43" s="119" t="s">
        <v>60</v>
      </c>
      <c r="B43" s="23" t="s">
        <v>107</v>
      </c>
      <c r="C43" s="43" t="s">
        <v>185</v>
      </c>
      <c r="D43" s="43" t="s">
        <v>75</v>
      </c>
      <c r="E43" s="28">
        <v>8.33</v>
      </c>
      <c r="F43" s="28">
        <v>4.58</v>
      </c>
      <c r="G43" s="28">
        <v>2.9</v>
      </c>
      <c r="H43" s="29">
        <v>2.9</v>
      </c>
      <c r="I43" s="28">
        <v>1.95</v>
      </c>
      <c r="J43" s="29">
        <v>1.95</v>
      </c>
      <c r="K43" s="28">
        <v>10.4</v>
      </c>
      <c r="L43" s="29">
        <v>10.4</v>
      </c>
      <c r="M43" s="28">
        <v>70.75</v>
      </c>
      <c r="N43" s="29">
        <v>70.75</v>
      </c>
      <c r="O43" s="86">
        <v>0.08</v>
      </c>
      <c r="P43" s="86">
        <f>O43*40/60</f>
        <v>0.05333333333333334</v>
      </c>
      <c r="Q43" s="86">
        <v>0.06</v>
      </c>
      <c r="R43" s="86">
        <f>Q43*40/60</f>
        <v>0.04</v>
      </c>
      <c r="S43" s="28">
        <v>0.14</v>
      </c>
      <c r="T43" s="29">
        <v>0.14</v>
      </c>
      <c r="U43" s="29">
        <v>70.8</v>
      </c>
      <c r="V43" s="29">
        <f>U43*40/60</f>
        <v>47.2</v>
      </c>
      <c r="W43" s="29">
        <v>0.81</v>
      </c>
      <c r="X43" s="74">
        <f>W43*40/60</f>
        <v>0.5400000000000001</v>
      </c>
      <c r="Y43" s="59"/>
      <c r="Z43" s="57"/>
      <c r="AA43" s="57"/>
      <c r="AB43" s="57"/>
      <c r="AC43" s="57"/>
      <c r="AD43" s="57"/>
    </row>
    <row r="44" spans="1:31" ht="27" customHeight="1">
      <c r="A44" s="119" t="s">
        <v>168</v>
      </c>
      <c r="B44" s="23" t="s">
        <v>169</v>
      </c>
      <c r="C44" s="43" t="s">
        <v>118</v>
      </c>
      <c r="D44" s="43" t="s">
        <v>119</v>
      </c>
      <c r="E44" s="28">
        <v>13.14</v>
      </c>
      <c r="F44" s="28">
        <v>10.49</v>
      </c>
      <c r="G44" s="28">
        <v>6.86</v>
      </c>
      <c r="H44" s="28">
        <v>5.14</v>
      </c>
      <c r="I44" s="28">
        <v>6.29</v>
      </c>
      <c r="J44" s="28">
        <v>4.25</v>
      </c>
      <c r="K44" s="28">
        <v>23.14</v>
      </c>
      <c r="L44" s="28">
        <v>17.35</v>
      </c>
      <c r="M44" s="28">
        <v>226.87</v>
      </c>
      <c r="N44" s="28">
        <v>166.4</v>
      </c>
      <c r="O44" s="40">
        <v>0.19</v>
      </c>
      <c r="P44" s="44">
        <v>0.16</v>
      </c>
      <c r="Q44" s="40">
        <v>0.26</v>
      </c>
      <c r="R44" s="44">
        <v>0.2</v>
      </c>
      <c r="S44" s="40">
        <v>0</v>
      </c>
      <c r="T44" s="44">
        <v>0</v>
      </c>
      <c r="U44" s="40">
        <v>229.72</v>
      </c>
      <c r="V44" s="44">
        <f>U44*150/200</f>
        <v>172.29</v>
      </c>
      <c r="W44" s="40">
        <v>2.6</v>
      </c>
      <c r="X44" s="44">
        <f>W44*150/200</f>
        <v>1.95</v>
      </c>
      <c r="Z44" s="53"/>
      <c r="AA44" s="53"/>
      <c r="AB44" s="53"/>
      <c r="AC44" s="53"/>
      <c r="AD44" s="53"/>
      <c r="AE44" s="53"/>
    </row>
    <row r="45" spans="1:31" ht="15" customHeight="1">
      <c r="A45" s="119" t="s">
        <v>32</v>
      </c>
      <c r="B45" s="23" t="s">
        <v>33</v>
      </c>
      <c r="C45" s="43" t="s">
        <v>31</v>
      </c>
      <c r="D45" s="43" t="s">
        <v>6</v>
      </c>
      <c r="E45" s="28">
        <v>5.81</v>
      </c>
      <c r="F45" s="28">
        <v>4.84</v>
      </c>
      <c r="G45" s="40">
        <v>2.95</v>
      </c>
      <c r="H45" s="40">
        <v>2.46</v>
      </c>
      <c r="I45" s="40">
        <v>3.24</v>
      </c>
      <c r="J45" s="40">
        <v>2.7</v>
      </c>
      <c r="K45" s="40">
        <v>22.82</v>
      </c>
      <c r="L45" s="40">
        <v>19.02</v>
      </c>
      <c r="M45" s="40">
        <v>132.26</v>
      </c>
      <c r="N45" s="29">
        <v>110.22</v>
      </c>
      <c r="O45" s="40">
        <f>P45*180/150</f>
        <v>0.024</v>
      </c>
      <c r="P45" s="44">
        <v>0.02</v>
      </c>
      <c r="Q45" s="40">
        <f>R45*180/150</f>
        <v>0.12</v>
      </c>
      <c r="R45" s="44">
        <v>0.1</v>
      </c>
      <c r="S45" s="40">
        <v>1.43</v>
      </c>
      <c r="T45" s="44">
        <v>1.2</v>
      </c>
      <c r="U45" s="40">
        <f>V45*180/150</f>
        <v>109.58399999999999</v>
      </c>
      <c r="V45" s="44">
        <v>91.32</v>
      </c>
      <c r="W45" s="40">
        <f>X45*180/150</f>
        <v>0.36</v>
      </c>
      <c r="X45" s="44">
        <v>0.3</v>
      </c>
      <c r="Y45" s="53"/>
      <c r="Z45" s="53"/>
      <c r="AA45" s="53"/>
      <c r="AB45" s="53"/>
      <c r="AC45" s="53"/>
      <c r="AD45" s="53"/>
      <c r="AE45" s="53"/>
    </row>
    <row r="46" spans="1:31" ht="15" customHeight="1">
      <c r="A46" s="22"/>
      <c r="B46" s="23" t="s">
        <v>7</v>
      </c>
      <c r="C46" s="43"/>
      <c r="D46" s="43"/>
      <c r="E46" s="17">
        <f>SUM(E43:E45)</f>
        <v>27.279999999999998</v>
      </c>
      <c r="F46" s="17">
        <f aca="true" t="shared" si="9" ref="F46:T46">SUM(F43:F45)</f>
        <v>19.91</v>
      </c>
      <c r="G46" s="17">
        <f t="shared" si="9"/>
        <v>12.71</v>
      </c>
      <c r="H46" s="17">
        <f t="shared" si="9"/>
        <v>10.5</v>
      </c>
      <c r="I46" s="17">
        <f t="shared" si="9"/>
        <v>11.48</v>
      </c>
      <c r="J46" s="17">
        <f t="shared" si="9"/>
        <v>8.9</v>
      </c>
      <c r="K46" s="17">
        <f t="shared" si="9"/>
        <v>56.36</v>
      </c>
      <c r="L46" s="17">
        <f t="shared" si="9"/>
        <v>46.769999999999996</v>
      </c>
      <c r="M46" s="17">
        <f t="shared" si="9"/>
        <v>429.88</v>
      </c>
      <c r="N46" s="17">
        <f t="shared" si="9"/>
        <v>347.37</v>
      </c>
      <c r="O46" s="17">
        <f t="shared" si="9"/>
        <v>0.29400000000000004</v>
      </c>
      <c r="P46" s="17">
        <f t="shared" si="9"/>
        <v>0.23333333333333334</v>
      </c>
      <c r="Q46" s="17">
        <f t="shared" si="9"/>
        <v>0.44</v>
      </c>
      <c r="R46" s="17">
        <f t="shared" si="9"/>
        <v>0.34</v>
      </c>
      <c r="S46" s="17">
        <f t="shared" si="9"/>
        <v>1.5699999999999998</v>
      </c>
      <c r="T46" s="17">
        <f t="shared" si="9"/>
        <v>1.3399999999999999</v>
      </c>
      <c r="U46" s="17">
        <f aca="true" t="shared" si="10" ref="U46:AB46">SUM(U43:U45)</f>
        <v>410.104</v>
      </c>
      <c r="V46" s="17">
        <f t="shared" si="10"/>
        <v>310.81</v>
      </c>
      <c r="W46" s="17">
        <f t="shared" si="10"/>
        <v>3.77</v>
      </c>
      <c r="X46" s="17">
        <f t="shared" si="10"/>
        <v>2.79</v>
      </c>
      <c r="Y46" s="17">
        <f t="shared" si="10"/>
        <v>0</v>
      </c>
      <c r="Z46" s="17">
        <f t="shared" si="10"/>
        <v>0</v>
      </c>
      <c r="AA46" s="17">
        <f t="shared" si="10"/>
        <v>0</v>
      </c>
      <c r="AB46" s="17">
        <f t="shared" si="10"/>
        <v>0</v>
      </c>
      <c r="AC46" s="58"/>
      <c r="AD46" s="53"/>
      <c r="AE46" s="53"/>
    </row>
    <row r="47" spans="1:31" ht="15" customHeight="1">
      <c r="A47" s="22"/>
      <c r="B47" s="91" t="s">
        <v>16</v>
      </c>
      <c r="C47" s="43"/>
      <c r="D47" s="43"/>
      <c r="E47" s="28"/>
      <c r="F47" s="28"/>
      <c r="G47" s="28"/>
      <c r="H47" s="29"/>
      <c r="I47" s="29"/>
      <c r="J47" s="29"/>
      <c r="K47" s="29"/>
      <c r="L47" s="29"/>
      <c r="M47" s="29"/>
      <c r="N47" s="29"/>
      <c r="O47" s="41"/>
      <c r="P47" s="41"/>
      <c r="Q47" s="41"/>
      <c r="R47" s="41"/>
      <c r="S47" s="41"/>
      <c r="T47" s="41"/>
      <c r="U47" s="41"/>
      <c r="V47" s="41"/>
      <c r="W47" s="41"/>
      <c r="X47" s="75"/>
      <c r="Y47" s="54"/>
      <c r="Z47" s="53"/>
      <c r="AA47" s="53"/>
      <c r="AB47" s="53"/>
      <c r="AC47" s="53"/>
      <c r="AD47" s="53"/>
      <c r="AE47" s="53"/>
    </row>
    <row r="48" spans="1:31" s="1" customFormat="1" ht="15" customHeight="1">
      <c r="A48" s="120" t="s">
        <v>51</v>
      </c>
      <c r="B48" s="64" t="s">
        <v>58</v>
      </c>
      <c r="C48" s="65" t="s">
        <v>98</v>
      </c>
      <c r="D48" s="65" t="s">
        <v>98</v>
      </c>
      <c r="E48" s="61">
        <v>4.19</v>
      </c>
      <c r="F48" s="61">
        <v>4.19</v>
      </c>
      <c r="G48" s="66">
        <v>0</v>
      </c>
      <c r="H48" s="68">
        <v>0</v>
      </c>
      <c r="I48" s="66">
        <f>J48*180/150</f>
        <v>0</v>
      </c>
      <c r="J48" s="68">
        <v>0</v>
      </c>
      <c r="K48" s="66">
        <v>10.2</v>
      </c>
      <c r="L48" s="68">
        <v>10.2</v>
      </c>
      <c r="M48" s="66">
        <v>40.8</v>
      </c>
      <c r="N48" s="68">
        <v>40.8</v>
      </c>
      <c r="O48" s="66">
        <f>P48*180/150</f>
        <v>0</v>
      </c>
      <c r="P48" s="68">
        <v>0</v>
      </c>
      <c r="Q48" s="66">
        <f>R48*180/150</f>
        <v>0.024</v>
      </c>
      <c r="R48" s="68">
        <v>0.02</v>
      </c>
      <c r="S48" s="66">
        <v>3.4</v>
      </c>
      <c r="T48" s="68">
        <v>3.4</v>
      </c>
      <c r="U48" s="66">
        <f>V48*180/150</f>
        <v>9.996</v>
      </c>
      <c r="V48" s="68">
        <v>8.33</v>
      </c>
      <c r="W48" s="66">
        <f>X48*180/150</f>
        <v>0.252</v>
      </c>
      <c r="X48" s="105">
        <v>0.21</v>
      </c>
      <c r="Y48" s="57"/>
      <c r="Z48" s="57"/>
      <c r="AA48" s="57"/>
      <c r="AB48" s="57"/>
      <c r="AC48" s="57"/>
      <c r="AD48" s="57"/>
      <c r="AE48" s="57"/>
    </row>
    <row r="49" spans="1:31" ht="15" customHeight="1">
      <c r="A49" s="22"/>
      <c r="B49" s="23" t="s">
        <v>7</v>
      </c>
      <c r="C49" s="43"/>
      <c r="D49" s="43"/>
      <c r="E49" s="17">
        <f>SUM(E48)</f>
        <v>4.19</v>
      </c>
      <c r="F49" s="17">
        <f aca="true" t="shared" si="11" ref="F49:T49">SUM(F48)</f>
        <v>4.19</v>
      </c>
      <c r="G49" s="17">
        <f t="shared" si="11"/>
        <v>0</v>
      </c>
      <c r="H49" s="17">
        <f t="shared" si="11"/>
        <v>0</v>
      </c>
      <c r="I49" s="17">
        <f t="shared" si="11"/>
        <v>0</v>
      </c>
      <c r="J49" s="17">
        <f t="shared" si="11"/>
        <v>0</v>
      </c>
      <c r="K49" s="17">
        <f t="shared" si="11"/>
        <v>10.2</v>
      </c>
      <c r="L49" s="17">
        <f t="shared" si="11"/>
        <v>10.2</v>
      </c>
      <c r="M49" s="17">
        <f t="shared" si="11"/>
        <v>40.8</v>
      </c>
      <c r="N49" s="17">
        <f t="shared" si="11"/>
        <v>40.8</v>
      </c>
      <c r="O49" s="17">
        <f t="shared" si="11"/>
        <v>0</v>
      </c>
      <c r="P49" s="17">
        <f t="shared" si="11"/>
        <v>0</v>
      </c>
      <c r="Q49" s="17">
        <f t="shared" si="11"/>
        <v>0.024</v>
      </c>
      <c r="R49" s="17">
        <f t="shared" si="11"/>
        <v>0.02</v>
      </c>
      <c r="S49" s="17">
        <f t="shared" si="11"/>
        <v>3.4</v>
      </c>
      <c r="T49" s="17">
        <f t="shared" si="11"/>
        <v>3.4</v>
      </c>
      <c r="U49" s="17">
        <f>SUM(U48)</f>
        <v>9.996</v>
      </c>
      <c r="V49" s="17">
        <f>SUM(V48)</f>
        <v>8.33</v>
      </c>
      <c r="W49" s="17">
        <f>SUM(W48)</f>
        <v>0.252</v>
      </c>
      <c r="X49" s="17">
        <f>SUM(X48)</f>
        <v>0.21</v>
      </c>
      <c r="Y49" s="72">
        <f>SUM(Y48)</f>
        <v>0</v>
      </c>
      <c r="Z49" s="58"/>
      <c r="AA49" s="58"/>
      <c r="AB49" s="58"/>
      <c r="AC49" s="58"/>
      <c r="AD49" s="53"/>
      <c r="AE49" s="53"/>
    </row>
    <row r="50" spans="1:31" ht="15" customHeight="1">
      <c r="A50" s="22"/>
      <c r="B50" s="91" t="s">
        <v>9</v>
      </c>
      <c r="C50" s="43"/>
      <c r="D50" s="43"/>
      <c r="E50" s="28"/>
      <c r="F50" s="28"/>
      <c r="G50" s="28"/>
      <c r="H50" s="29"/>
      <c r="I50" s="29"/>
      <c r="J50" s="29"/>
      <c r="K50" s="29"/>
      <c r="L50" s="29"/>
      <c r="M50" s="29"/>
      <c r="N50" s="29"/>
      <c r="O50" s="41"/>
      <c r="P50" s="41"/>
      <c r="Q50" s="41"/>
      <c r="R50" s="41"/>
      <c r="S50" s="41"/>
      <c r="T50" s="41"/>
      <c r="U50" s="41"/>
      <c r="V50" s="41"/>
      <c r="W50" s="41"/>
      <c r="X50" s="75"/>
      <c r="Y50" s="54"/>
      <c r="Z50" s="53"/>
      <c r="AA50" s="53"/>
      <c r="AB50" s="53"/>
      <c r="AC50" s="53"/>
      <c r="AD50" s="53"/>
      <c r="AE50" s="53"/>
    </row>
    <row r="51" spans="1:24" ht="14.25" customHeight="1">
      <c r="A51" s="120" t="s">
        <v>138</v>
      </c>
      <c r="B51" s="23" t="s">
        <v>139</v>
      </c>
      <c r="C51" s="43" t="s">
        <v>30</v>
      </c>
      <c r="D51" s="43" t="s">
        <v>104</v>
      </c>
      <c r="E51" s="28">
        <v>1.06</v>
      </c>
      <c r="F51" s="28">
        <v>0.8</v>
      </c>
      <c r="G51" s="28">
        <v>0.6</v>
      </c>
      <c r="H51" s="29">
        <v>0.45</v>
      </c>
      <c r="I51" s="28">
        <v>0.06</v>
      </c>
      <c r="J51" s="145">
        <v>0.045</v>
      </c>
      <c r="K51" s="28">
        <v>6.96</v>
      </c>
      <c r="L51" s="29">
        <v>5.22</v>
      </c>
      <c r="M51" s="28">
        <v>30</v>
      </c>
      <c r="N51" s="29">
        <v>22.5</v>
      </c>
      <c r="O51" s="29">
        <v>0.02</v>
      </c>
      <c r="P51" s="29">
        <f>O51*45/60</f>
        <v>0.015000000000000001</v>
      </c>
      <c r="Q51" s="29">
        <v>0.02</v>
      </c>
      <c r="R51" s="29">
        <f>Q51*45/60</f>
        <v>0.015000000000000001</v>
      </c>
      <c r="S51" s="28">
        <v>2.88</v>
      </c>
      <c r="T51" s="29">
        <v>2.16</v>
      </c>
      <c r="U51" s="127">
        <v>20.69</v>
      </c>
      <c r="V51" s="85">
        <v>0</v>
      </c>
      <c r="W51" s="127">
        <v>0.78</v>
      </c>
      <c r="X51" s="85">
        <v>0</v>
      </c>
    </row>
    <row r="52" spans="1:31" s="7" customFormat="1" ht="25.5">
      <c r="A52" s="119" t="s">
        <v>133</v>
      </c>
      <c r="B52" s="25" t="s">
        <v>134</v>
      </c>
      <c r="C52" s="43" t="s">
        <v>85</v>
      </c>
      <c r="D52" s="43" t="s">
        <v>86</v>
      </c>
      <c r="E52" s="28">
        <v>6.21</v>
      </c>
      <c r="F52" s="28">
        <v>5.13</v>
      </c>
      <c r="G52" s="40">
        <v>1.9</v>
      </c>
      <c r="H52" s="40">
        <v>1.46</v>
      </c>
      <c r="I52" s="40">
        <v>4.35</v>
      </c>
      <c r="J52" s="40">
        <v>3.45</v>
      </c>
      <c r="K52" s="40">
        <v>10.31</v>
      </c>
      <c r="L52" s="40">
        <v>7.77</v>
      </c>
      <c r="M52" s="40">
        <v>88.02</v>
      </c>
      <c r="N52" s="40">
        <v>68.02</v>
      </c>
      <c r="O52" s="29">
        <v>0.1</v>
      </c>
      <c r="P52" s="40">
        <f>O52*163/213</f>
        <v>0.07652582159624413</v>
      </c>
      <c r="Q52" s="29">
        <v>0.05</v>
      </c>
      <c r="R52" s="40">
        <f>Q52*163/213</f>
        <v>0.038262910798122066</v>
      </c>
      <c r="S52" s="29">
        <v>9.85</v>
      </c>
      <c r="T52" s="40">
        <v>7.48</v>
      </c>
      <c r="U52" s="29">
        <v>32.89</v>
      </c>
      <c r="V52" s="40">
        <f>U52*163/213</f>
        <v>25.169342723004693</v>
      </c>
      <c r="W52" s="29">
        <v>1.07</v>
      </c>
      <c r="X52" s="40">
        <f>W52*163/213</f>
        <v>0.8188262910798122</v>
      </c>
      <c r="Z52" s="76"/>
      <c r="AA52" s="76"/>
      <c r="AB52" s="76"/>
      <c r="AC52" s="76"/>
      <c r="AD52" s="76"/>
      <c r="AE52" s="76"/>
    </row>
    <row r="53" spans="1:29" s="7" customFormat="1" ht="27" customHeight="1">
      <c r="A53" s="120" t="s">
        <v>145</v>
      </c>
      <c r="B53" s="64" t="s">
        <v>146</v>
      </c>
      <c r="C53" s="65" t="s">
        <v>5</v>
      </c>
      <c r="D53" s="65" t="s">
        <v>5</v>
      </c>
      <c r="E53" s="61">
        <v>29.19</v>
      </c>
      <c r="F53" s="61">
        <v>29.19</v>
      </c>
      <c r="G53" s="28">
        <v>13.5</v>
      </c>
      <c r="H53" s="29">
        <v>13.5</v>
      </c>
      <c r="I53" s="28">
        <v>11.57</v>
      </c>
      <c r="J53" s="29">
        <v>11.57</v>
      </c>
      <c r="K53" s="28">
        <v>25.1</v>
      </c>
      <c r="L53" s="29">
        <v>25.1</v>
      </c>
      <c r="M53" s="28">
        <v>256.45</v>
      </c>
      <c r="N53" s="29">
        <v>256.45</v>
      </c>
      <c r="O53" s="29">
        <v>0.2</v>
      </c>
      <c r="P53" s="29">
        <v>0.15</v>
      </c>
      <c r="Q53" s="29">
        <v>0.18</v>
      </c>
      <c r="R53" s="29">
        <v>0.11</v>
      </c>
      <c r="S53" s="29">
        <v>38.1</v>
      </c>
      <c r="T53" s="29">
        <v>38.1</v>
      </c>
      <c r="U53" s="62">
        <v>62.67</v>
      </c>
      <c r="V53" s="62">
        <v>54.45</v>
      </c>
      <c r="W53" s="62">
        <v>0.52</v>
      </c>
      <c r="X53" s="62">
        <v>0.46</v>
      </c>
      <c r="Y53" s="139"/>
      <c r="Z53" s="76"/>
      <c r="AA53" s="76"/>
      <c r="AB53" s="76"/>
      <c r="AC53" s="76"/>
    </row>
    <row r="54" spans="1:29" ht="15.75" customHeight="1">
      <c r="A54" s="120" t="s">
        <v>91</v>
      </c>
      <c r="B54" s="64" t="s">
        <v>108</v>
      </c>
      <c r="C54" s="65" t="s">
        <v>5</v>
      </c>
      <c r="D54" s="65" t="s">
        <v>6</v>
      </c>
      <c r="E54" s="61">
        <v>3.15</v>
      </c>
      <c r="F54" s="61">
        <v>2.36</v>
      </c>
      <c r="G54" s="66">
        <v>0.4</v>
      </c>
      <c r="H54" s="68">
        <v>0.3</v>
      </c>
      <c r="I54" s="66">
        <f>J54*200/150</f>
        <v>0</v>
      </c>
      <c r="J54" s="68">
        <v>0</v>
      </c>
      <c r="K54" s="66">
        <v>27.4</v>
      </c>
      <c r="L54" s="68">
        <v>20.5</v>
      </c>
      <c r="M54" s="66">
        <v>111.2</v>
      </c>
      <c r="N54" s="68">
        <v>83.2</v>
      </c>
      <c r="O54" s="62">
        <v>0.02</v>
      </c>
      <c r="P54" s="62">
        <f>O54*150/200</f>
        <v>0.015</v>
      </c>
      <c r="Q54" s="62">
        <v>0.01</v>
      </c>
      <c r="R54" s="62">
        <f>Q54*150/200</f>
        <v>0.0075</v>
      </c>
      <c r="S54" s="62">
        <v>0</v>
      </c>
      <c r="T54" s="62">
        <v>0</v>
      </c>
      <c r="U54" s="69">
        <v>25.91</v>
      </c>
      <c r="V54" s="62">
        <f>U54*150/200</f>
        <v>19.4325</v>
      </c>
      <c r="W54" s="69">
        <v>0.65</v>
      </c>
      <c r="X54" s="82">
        <f>W54*150/200</f>
        <v>0.4875</v>
      </c>
      <c r="Y54" s="53"/>
      <c r="Z54" s="53"/>
      <c r="AA54" s="53"/>
      <c r="AB54" s="53"/>
      <c r="AC54" s="53"/>
    </row>
    <row r="55" spans="1:31" s="16" customFormat="1" ht="15" customHeight="1">
      <c r="A55" s="119"/>
      <c r="B55" s="23" t="s">
        <v>11</v>
      </c>
      <c r="C55" s="43" t="s">
        <v>14</v>
      </c>
      <c r="D55" s="43" t="s">
        <v>14</v>
      </c>
      <c r="E55" s="28">
        <v>1.22</v>
      </c>
      <c r="F55" s="28">
        <v>1.22</v>
      </c>
      <c r="G55" s="28">
        <v>1.6</v>
      </c>
      <c r="H55" s="28">
        <v>1.6</v>
      </c>
      <c r="I55" s="28">
        <v>0.4</v>
      </c>
      <c r="J55" s="28">
        <v>0.4</v>
      </c>
      <c r="K55" s="28">
        <v>10</v>
      </c>
      <c r="L55" s="28">
        <v>10</v>
      </c>
      <c r="M55" s="29">
        <v>54</v>
      </c>
      <c r="N55" s="29">
        <v>54</v>
      </c>
      <c r="O55" s="42">
        <v>0.04</v>
      </c>
      <c r="P55" s="47">
        <v>0.04</v>
      </c>
      <c r="Q55" s="42">
        <v>0.02</v>
      </c>
      <c r="R55" s="47">
        <v>0.02</v>
      </c>
      <c r="S55" s="42">
        <v>0</v>
      </c>
      <c r="T55" s="47">
        <v>0</v>
      </c>
      <c r="U55" s="42">
        <v>7.4</v>
      </c>
      <c r="V55" s="47">
        <v>7.4</v>
      </c>
      <c r="W55" s="42">
        <v>0.56</v>
      </c>
      <c r="X55" s="47">
        <v>0.56</v>
      </c>
      <c r="Y55" s="56"/>
      <c r="Z55" s="56"/>
      <c r="AA55" s="56"/>
      <c r="AB55" s="56"/>
      <c r="AC55" s="56"/>
      <c r="AD55" s="56"/>
      <c r="AE55" s="56"/>
    </row>
    <row r="56" spans="1:31" ht="15" customHeight="1">
      <c r="A56" s="119"/>
      <c r="B56" s="23" t="s">
        <v>47</v>
      </c>
      <c r="C56" s="43" t="s">
        <v>70</v>
      </c>
      <c r="D56" s="43" t="s">
        <v>71</v>
      </c>
      <c r="E56" s="28">
        <v>2.3</v>
      </c>
      <c r="F56" s="28">
        <v>2.01</v>
      </c>
      <c r="G56" s="28">
        <v>3.25</v>
      </c>
      <c r="H56" s="29">
        <v>2.84</v>
      </c>
      <c r="I56" s="29">
        <v>0.46</v>
      </c>
      <c r="J56" s="29">
        <f>I56*40.6/46</f>
        <v>0.406</v>
      </c>
      <c r="K56" s="29">
        <v>20.88</v>
      </c>
      <c r="L56" s="29">
        <v>18.27</v>
      </c>
      <c r="M56" s="29">
        <v>102.08</v>
      </c>
      <c r="N56" s="29">
        <v>89.32</v>
      </c>
      <c r="O56" s="40">
        <v>0.06</v>
      </c>
      <c r="P56" s="44">
        <v>0.04</v>
      </c>
      <c r="Q56" s="40">
        <v>0.04</v>
      </c>
      <c r="R56" s="44">
        <v>0.03</v>
      </c>
      <c r="S56" s="40">
        <v>0</v>
      </c>
      <c r="T56" s="29">
        <f>S56*40.6/46</f>
        <v>0</v>
      </c>
      <c r="U56" s="42">
        <v>17</v>
      </c>
      <c r="V56" s="47">
        <v>13.6</v>
      </c>
      <c r="W56" s="42">
        <v>1.15</v>
      </c>
      <c r="X56" s="47">
        <v>0.92</v>
      </c>
      <c r="Y56" s="53"/>
      <c r="Z56" s="53"/>
      <c r="AA56" s="53"/>
      <c r="AB56" s="53"/>
      <c r="AC56" s="53"/>
      <c r="AD56" s="53"/>
      <c r="AE56" s="53"/>
    </row>
    <row r="57" spans="1:31" ht="15" customHeight="1">
      <c r="A57" s="22"/>
      <c r="B57" s="23" t="s">
        <v>7</v>
      </c>
      <c r="C57" s="43"/>
      <c r="D57" s="43"/>
      <c r="E57" s="17">
        <f>SUM(E51:E56)</f>
        <v>43.129999999999995</v>
      </c>
      <c r="F57" s="17">
        <f aca="true" t="shared" si="12" ref="F57:T57">SUM(F51:F56)</f>
        <v>40.71</v>
      </c>
      <c r="G57" s="17">
        <f t="shared" si="12"/>
        <v>21.25</v>
      </c>
      <c r="H57" s="17">
        <f t="shared" si="12"/>
        <v>20.150000000000002</v>
      </c>
      <c r="I57" s="17">
        <f t="shared" si="12"/>
        <v>16.84</v>
      </c>
      <c r="J57" s="17">
        <f t="shared" si="12"/>
        <v>15.871000000000002</v>
      </c>
      <c r="K57" s="17">
        <f t="shared" si="12"/>
        <v>100.65</v>
      </c>
      <c r="L57" s="17">
        <f t="shared" si="12"/>
        <v>86.86</v>
      </c>
      <c r="M57" s="17">
        <f t="shared" si="12"/>
        <v>641.75</v>
      </c>
      <c r="N57" s="17">
        <f t="shared" si="12"/>
        <v>573.49</v>
      </c>
      <c r="O57" s="17">
        <f t="shared" si="12"/>
        <v>0.44</v>
      </c>
      <c r="P57" s="17">
        <f t="shared" si="12"/>
        <v>0.3365258215962441</v>
      </c>
      <c r="Q57" s="17">
        <f t="shared" si="12"/>
        <v>0.32</v>
      </c>
      <c r="R57" s="17">
        <f t="shared" si="12"/>
        <v>0.22076291079812205</v>
      </c>
      <c r="S57" s="17">
        <f t="shared" si="12"/>
        <v>50.83</v>
      </c>
      <c r="T57" s="17">
        <f t="shared" si="12"/>
        <v>47.74</v>
      </c>
      <c r="U57" s="17">
        <f aca="true" t="shared" si="13" ref="U57:AB57">SUM(U51:U56)</f>
        <v>166.56</v>
      </c>
      <c r="V57" s="17">
        <f t="shared" si="13"/>
        <v>120.0518427230047</v>
      </c>
      <c r="W57" s="17">
        <f t="shared" si="13"/>
        <v>4.73</v>
      </c>
      <c r="X57" s="17">
        <f t="shared" si="13"/>
        <v>3.2463262910798125</v>
      </c>
      <c r="Y57" s="17">
        <f t="shared" si="13"/>
        <v>0</v>
      </c>
      <c r="Z57" s="17">
        <f t="shared" si="13"/>
        <v>0</v>
      </c>
      <c r="AA57" s="17">
        <f t="shared" si="13"/>
        <v>0</v>
      </c>
      <c r="AB57" s="17">
        <f t="shared" si="13"/>
        <v>0</v>
      </c>
      <c r="AC57" s="58"/>
      <c r="AD57" s="53"/>
      <c r="AE57" s="53"/>
    </row>
    <row r="58" spans="1:31" ht="15" customHeight="1">
      <c r="A58" s="22"/>
      <c r="B58" s="91" t="s">
        <v>17</v>
      </c>
      <c r="C58" s="43"/>
      <c r="D58" s="43"/>
      <c r="E58" s="28"/>
      <c r="F58" s="28"/>
      <c r="G58" s="28"/>
      <c r="H58" s="29"/>
      <c r="I58" s="29"/>
      <c r="J58" s="29"/>
      <c r="K58" s="29"/>
      <c r="L58" s="29"/>
      <c r="M58" s="29"/>
      <c r="N58" s="29"/>
      <c r="O58" s="41"/>
      <c r="P58" s="41"/>
      <c r="Q58" s="41"/>
      <c r="R58" s="41"/>
      <c r="S58" s="41"/>
      <c r="T58" s="41"/>
      <c r="U58" s="41"/>
      <c r="V58" s="41"/>
      <c r="W58" s="41"/>
      <c r="X58" s="75"/>
      <c r="Y58" s="54"/>
      <c r="Z58" s="53"/>
      <c r="AA58" s="53"/>
      <c r="AB58" s="53"/>
      <c r="AC58" s="53"/>
      <c r="AD58" s="53"/>
      <c r="AE58" s="53"/>
    </row>
    <row r="59" spans="1:31" ht="15" customHeight="1">
      <c r="A59" s="119" t="s">
        <v>23</v>
      </c>
      <c r="B59" s="23" t="s">
        <v>20</v>
      </c>
      <c r="C59" s="43" t="s">
        <v>31</v>
      </c>
      <c r="D59" s="43" t="s">
        <v>31</v>
      </c>
      <c r="E59" s="28">
        <v>10.36</v>
      </c>
      <c r="F59" s="28">
        <v>10.36</v>
      </c>
      <c r="G59" s="28">
        <v>5.31</v>
      </c>
      <c r="H59" s="29">
        <v>5.31</v>
      </c>
      <c r="I59" s="28">
        <v>4.5</v>
      </c>
      <c r="J59" s="29">
        <v>4.5</v>
      </c>
      <c r="K59" s="28">
        <v>8.91</v>
      </c>
      <c r="L59" s="29">
        <v>8.91</v>
      </c>
      <c r="M59" s="28">
        <v>97.38</v>
      </c>
      <c r="N59" s="29">
        <v>97.38</v>
      </c>
      <c r="O59" s="28">
        <v>0.07</v>
      </c>
      <c r="P59" s="29">
        <v>0.07</v>
      </c>
      <c r="Q59" s="28">
        <v>0.3</v>
      </c>
      <c r="R59" s="29">
        <v>0.3</v>
      </c>
      <c r="S59" s="28">
        <v>2.46</v>
      </c>
      <c r="T59" s="29">
        <v>2.46</v>
      </c>
      <c r="U59" s="28">
        <v>275.74</v>
      </c>
      <c r="V59" s="29">
        <v>275.74</v>
      </c>
      <c r="W59" s="28">
        <v>0.23</v>
      </c>
      <c r="X59" s="29">
        <v>0.23</v>
      </c>
      <c r="Y59" s="57"/>
      <c r="Z59" s="57"/>
      <c r="AA59" s="57"/>
      <c r="AB59" s="57"/>
      <c r="AC59" s="57"/>
      <c r="AD59" s="57"/>
      <c r="AE59" s="53"/>
    </row>
    <row r="60" spans="1:31" ht="12.75">
      <c r="A60" s="122" t="s">
        <v>171</v>
      </c>
      <c r="B60" s="9" t="s">
        <v>172</v>
      </c>
      <c r="C60" s="43" t="s">
        <v>173</v>
      </c>
      <c r="D60" s="43" t="s">
        <v>173</v>
      </c>
      <c r="E60" s="28">
        <v>1.09</v>
      </c>
      <c r="F60" s="28">
        <v>1.09</v>
      </c>
      <c r="G60" s="28">
        <v>2.24</v>
      </c>
      <c r="H60" s="29">
        <v>2.24</v>
      </c>
      <c r="I60" s="28">
        <v>3.93</v>
      </c>
      <c r="J60" s="29">
        <v>3.93</v>
      </c>
      <c r="K60" s="28">
        <v>18.27</v>
      </c>
      <c r="L60" s="29">
        <v>18.27</v>
      </c>
      <c r="M60" s="28">
        <v>117.63</v>
      </c>
      <c r="N60" s="29">
        <v>117.63</v>
      </c>
      <c r="O60" s="28"/>
      <c r="P60" s="29"/>
      <c r="Q60" s="28"/>
      <c r="R60" s="29"/>
      <c r="S60" s="28">
        <v>0</v>
      </c>
      <c r="T60" s="29">
        <v>0</v>
      </c>
      <c r="U60" s="160"/>
      <c r="V60" s="96"/>
      <c r="W60" s="160"/>
      <c r="X60" s="161"/>
      <c r="Y60" s="57"/>
      <c r="Z60" s="57"/>
      <c r="AA60" s="57"/>
      <c r="AB60" s="57"/>
      <c r="AC60" s="57"/>
      <c r="AD60" s="57"/>
      <c r="AE60" s="53"/>
    </row>
    <row r="61" spans="1:31" ht="15" customHeight="1">
      <c r="A61" s="22"/>
      <c r="B61" s="23" t="s">
        <v>7</v>
      </c>
      <c r="C61" s="43"/>
      <c r="D61" s="43"/>
      <c r="E61" s="17">
        <f>SUM(E59:E60)</f>
        <v>11.45</v>
      </c>
      <c r="F61" s="17">
        <f aca="true" t="shared" si="14" ref="F61:AB61">SUM(F59:F60)</f>
        <v>11.45</v>
      </c>
      <c r="G61" s="17">
        <f t="shared" si="14"/>
        <v>7.55</v>
      </c>
      <c r="H61" s="17">
        <f t="shared" si="14"/>
        <v>7.55</v>
      </c>
      <c r="I61" s="17">
        <f t="shared" si="14"/>
        <v>8.43</v>
      </c>
      <c r="J61" s="17">
        <f t="shared" si="14"/>
        <v>8.43</v>
      </c>
      <c r="K61" s="17">
        <f t="shared" si="14"/>
        <v>27.18</v>
      </c>
      <c r="L61" s="17">
        <f t="shared" si="14"/>
        <v>27.18</v>
      </c>
      <c r="M61" s="17">
        <f t="shared" si="14"/>
        <v>215.01</v>
      </c>
      <c r="N61" s="17">
        <f t="shared" si="14"/>
        <v>215.01</v>
      </c>
      <c r="O61" s="17">
        <f t="shared" si="14"/>
        <v>0.07</v>
      </c>
      <c r="P61" s="17">
        <f t="shared" si="14"/>
        <v>0.07</v>
      </c>
      <c r="Q61" s="17">
        <f t="shared" si="14"/>
        <v>0.3</v>
      </c>
      <c r="R61" s="17">
        <f t="shared" si="14"/>
        <v>0.3</v>
      </c>
      <c r="S61" s="17">
        <f t="shared" si="14"/>
        <v>2.46</v>
      </c>
      <c r="T61" s="17">
        <f t="shared" si="14"/>
        <v>2.46</v>
      </c>
      <c r="U61" s="17">
        <f t="shared" si="14"/>
        <v>275.74</v>
      </c>
      <c r="V61" s="17">
        <f t="shared" si="14"/>
        <v>275.74</v>
      </c>
      <c r="W61" s="17">
        <f t="shared" si="14"/>
        <v>0.23</v>
      </c>
      <c r="X61" s="17">
        <f t="shared" si="14"/>
        <v>0.23</v>
      </c>
      <c r="Y61" s="17">
        <f t="shared" si="14"/>
        <v>0</v>
      </c>
      <c r="Z61" s="17">
        <f t="shared" si="14"/>
        <v>0</v>
      </c>
      <c r="AA61" s="17">
        <f t="shared" si="14"/>
        <v>0</v>
      </c>
      <c r="AB61" s="17">
        <f t="shared" si="14"/>
        <v>0</v>
      </c>
      <c r="AC61" s="58"/>
      <c r="AD61" s="53"/>
      <c r="AE61" s="53"/>
    </row>
    <row r="62" spans="1:31" ht="15" customHeight="1">
      <c r="A62" s="22"/>
      <c r="B62" s="91" t="s">
        <v>13</v>
      </c>
      <c r="C62" s="43"/>
      <c r="D62" s="43"/>
      <c r="E62" s="28"/>
      <c r="F62" s="28"/>
      <c r="G62" s="28"/>
      <c r="H62" s="29"/>
      <c r="I62" s="29"/>
      <c r="J62" s="29"/>
      <c r="K62" s="29"/>
      <c r="L62" s="29"/>
      <c r="M62" s="29"/>
      <c r="N62" s="29"/>
      <c r="O62" s="41"/>
      <c r="P62" s="41"/>
      <c r="Q62" s="41"/>
      <c r="R62" s="41"/>
      <c r="S62" s="41"/>
      <c r="T62" s="41"/>
      <c r="U62" s="41"/>
      <c r="V62" s="41"/>
      <c r="W62" s="41"/>
      <c r="X62" s="75"/>
      <c r="Y62" s="54"/>
      <c r="Z62" s="53"/>
      <c r="AA62" s="53"/>
      <c r="AB62" s="53"/>
      <c r="AC62" s="53"/>
      <c r="AD62" s="53"/>
      <c r="AE62" s="53"/>
    </row>
    <row r="63" spans="1:27" s="7" customFormat="1" ht="15" customHeight="1">
      <c r="A63" s="123" t="s">
        <v>154</v>
      </c>
      <c r="B63" s="23" t="s">
        <v>155</v>
      </c>
      <c r="C63" s="43" t="s">
        <v>10</v>
      </c>
      <c r="D63" s="43" t="s">
        <v>10</v>
      </c>
      <c r="E63" s="28">
        <v>17.62</v>
      </c>
      <c r="F63" s="28">
        <v>17.62</v>
      </c>
      <c r="G63" s="28">
        <v>15.77</v>
      </c>
      <c r="H63" s="29">
        <v>15.77</v>
      </c>
      <c r="I63" s="29">
        <v>2.76</v>
      </c>
      <c r="J63" s="29">
        <v>2.76</v>
      </c>
      <c r="K63" s="29">
        <v>7.3</v>
      </c>
      <c r="L63" s="29">
        <v>7.3</v>
      </c>
      <c r="M63" s="29">
        <v>117</v>
      </c>
      <c r="N63" s="29">
        <v>117</v>
      </c>
      <c r="O63" s="29">
        <v>0.09</v>
      </c>
      <c r="P63" s="29">
        <v>0.09</v>
      </c>
      <c r="Q63" s="29">
        <v>0.1</v>
      </c>
      <c r="R63" s="29">
        <v>0.1</v>
      </c>
      <c r="S63" s="29">
        <v>2.29</v>
      </c>
      <c r="T63" s="29">
        <v>2.29</v>
      </c>
      <c r="U63" s="29">
        <v>23.97</v>
      </c>
      <c r="V63" s="29">
        <v>23.97</v>
      </c>
      <c r="W63" s="29">
        <v>0.61</v>
      </c>
      <c r="X63" s="29">
        <v>0.61</v>
      </c>
      <c r="Y63" s="83"/>
      <c r="Z63" s="83"/>
      <c r="AA63" s="77"/>
    </row>
    <row r="64" spans="1:31" ht="15" customHeight="1">
      <c r="A64" s="119" t="s">
        <v>88</v>
      </c>
      <c r="B64" s="23" t="s">
        <v>89</v>
      </c>
      <c r="C64" s="43" t="s">
        <v>6</v>
      </c>
      <c r="D64" s="43" t="s">
        <v>69</v>
      </c>
      <c r="E64" s="28">
        <v>5.7</v>
      </c>
      <c r="F64" s="28">
        <v>4.94</v>
      </c>
      <c r="G64" s="29">
        <v>3</v>
      </c>
      <c r="H64" s="66">
        <f>G64*130/150</f>
        <v>2.6</v>
      </c>
      <c r="I64" s="29">
        <v>4.8</v>
      </c>
      <c r="J64" s="66">
        <f>I64*130/150</f>
        <v>4.16</v>
      </c>
      <c r="K64" s="29">
        <v>20.4</v>
      </c>
      <c r="L64" s="66">
        <f>K64*130/150</f>
        <v>17.68</v>
      </c>
      <c r="M64" s="29">
        <v>140</v>
      </c>
      <c r="N64" s="66">
        <f>M64*130/150</f>
        <v>121.33333333333333</v>
      </c>
      <c r="O64" s="40">
        <v>0.16</v>
      </c>
      <c r="P64" s="40">
        <v>0</v>
      </c>
      <c r="Q64" s="40">
        <v>0.1</v>
      </c>
      <c r="R64" s="40">
        <f>Q64/1.5</f>
        <v>0.06666666666666667</v>
      </c>
      <c r="S64" s="29">
        <v>18.1</v>
      </c>
      <c r="T64" s="66">
        <f>S64*130/150</f>
        <v>15.686666666666667</v>
      </c>
      <c r="U64" s="42">
        <v>42.66</v>
      </c>
      <c r="V64" s="42">
        <v>35.44</v>
      </c>
      <c r="W64" s="42">
        <v>0.19</v>
      </c>
      <c r="X64" s="42">
        <f>W64/1.5</f>
        <v>0.12666666666666668</v>
      </c>
      <c r="Y64" s="53"/>
      <c r="Z64" s="53"/>
      <c r="AA64" s="53"/>
      <c r="AB64" s="53"/>
      <c r="AC64" s="53"/>
      <c r="AD64" s="53"/>
      <c r="AE64" s="53"/>
    </row>
    <row r="65" spans="1:31" ht="15" customHeight="1">
      <c r="A65" s="120" t="s">
        <v>76</v>
      </c>
      <c r="B65" s="67" t="s">
        <v>77</v>
      </c>
      <c r="C65" s="65" t="s">
        <v>5</v>
      </c>
      <c r="D65" s="65" t="s">
        <v>6</v>
      </c>
      <c r="E65" s="61">
        <v>0.5</v>
      </c>
      <c r="F65" s="61">
        <v>0.38</v>
      </c>
      <c r="G65" s="61">
        <v>0.18</v>
      </c>
      <c r="H65" s="62">
        <v>0.13</v>
      </c>
      <c r="I65" s="61">
        <f>J65*200/150</f>
        <v>0</v>
      </c>
      <c r="J65" s="62">
        <v>0</v>
      </c>
      <c r="K65" s="61">
        <v>4.78</v>
      </c>
      <c r="L65" s="62">
        <v>3.58</v>
      </c>
      <c r="M65" s="61">
        <v>19.9</v>
      </c>
      <c r="N65" s="62">
        <v>14.92</v>
      </c>
      <c r="O65" s="61">
        <f>P65*200/150</f>
        <v>0.013333333333333334</v>
      </c>
      <c r="P65" s="69">
        <v>0.01</v>
      </c>
      <c r="Q65" s="61">
        <f>R65*200/150</f>
        <v>0.013333333333333334</v>
      </c>
      <c r="R65" s="69">
        <v>0.01</v>
      </c>
      <c r="S65" s="61">
        <v>0.04</v>
      </c>
      <c r="T65" s="69">
        <v>0.03</v>
      </c>
      <c r="U65" s="61">
        <f>V65*200/150</f>
        <v>5.053333333333334</v>
      </c>
      <c r="V65" s="69">
        <v>3.79</v>
      </c>
      <c r="W65" s="61">
        <f>X65*200/150</f>
        <v>0.84</v>
      </c>
      <c r="X65" s="113">
        <v>0.63</v>
      </c>
      <c r="Y65" s="53"/>
      <c r="Z65" s="53"/>
      <c r="AA65" s="53"/>
      <c r="AB65" s="53"/>
      <c r="AC65" s="53"/>
      <c r="AD65" s="53"/>
      <c r="AE65" s="53"/>
    </row>
    <row r="66" spans="1:31" s="16" customFormat="1" ht="15" customHeight="1">
      <c r="A66" s="119"/>
      <c r="B66" s="23" t="s">
        <v>11</v>
      </c>
      <c r="C66" s="43" t="s">
        <v>14</v>
      </c>
      <c r="D66" s="43" t="s">
        <v>14</v>
      </c>
      <c r="E66" s="28">
        <v>1.22</v>
      </c>
      <c r="F66" s="28">
        <v>1.22</v>
      </c>
      <c r="G66" s="28">
        <v>1.6</v>
      </c>
      <c r="H66" s="28">
        <v>1.6</v>
      </c>
      <c r="I66" s="28">
        <v>0.4</v>
      </c>
      <c r="J66" s="28">
        <v>0.4</v>
      </c>
      <c r="K66" s="28">
        <v>10</v>
      </c>
      <c r="L66" s="28">
        <v>10</v>
      </c>
      <c r="M66" s="29">
        <v>54</v>
      </c>
      <c r="N66" s="29">
        <v>54</v>
      </c>
      <c r="O66" s="42">
        <v>0.04</v>
      </c>
      <c r="P66" s="47">
        <v>0.04</v>
      </c>
      <c r="Q66" s="42">
        <v>0.02</v>
      </c>
      <c r="R66" s="47">
        <v>0.02</v>
      </c>
      <c r="S66" s="42">
        <v>0</v>
      </c>
      <c r="T66" s="47">
        <v>0</v>
      </c>
      <c r="U66" s="42">
        <v>7.4</v>
      </c>
      <c r="V66" s="47">
        <v>7.4</v>
      </c>
      <c r="W66" s="42">
        <v>0.56</v>
      </c>
      <c r="X66" s="47">
        <v>0.56</v>
      </c>
      <c r="Y66" s="56"/>
      <c r="Z66" s="56"/>
      <c r="AA66" s="56"/>
      <c r="AB66" s="56"/>
      <c r="AC66" s="56"/>
      <c r="AD66" s="56"/>
      <c r="AE66" s="56"/>
    </row>
    <row r="67" spans="1:31" ht="15" customHeight="1">
      <c r="A67" s="22"/>
      <c r="B67" s="23" t="s">
        <v>7</v>
      </c>
      <c r="C67" s="43"/>
      <c r="D67" s="43"/>
      <c r="E67" s="17">
        <f>SUM(E63:E66)</f>
        <v>25.04</v>
      </c>
      <c r="F67" s="17">
        <f aca="true" t="shared" si="15" ref="F67:T67">SUM(F63:F66)</f>
        <v>24.16</v>
      </c>
      <c r="G67" s="17">
        <f t="shared" si="15"/>
        <v>20.55</v>
      </c>
      <c r="H67" s="17">
        <f t="shared" si="15"/>
        <v>20.1</v>
      </c>
      <c r="I67" s="17">
        <f t="shared" si="15"/>
        <v>7.96</v>
      </c>
      <c r="J67" s="17">
        <f t="shared" si="15"/>
        <v>7.32</v>
      </c>
      <c r="K67" s="17">
        <f t="shared" si="15"/>
        <v>42.48</v>
      </c>
      <c r="L67" s="17">
        <f t="shared" si="15"/>
        <v>38.56</v>
      </c>
      <c r="M67" s="17">
        <f t="shared" si="15"/>
        <v>330.9</v>
      </c>
      <c r="N67" s="17">
        <f t="shared" si="15"/>
        <v>307.25333333333333</v>
      </c>
      <c r="O67" s="17">
        <f t="shared" si="15"/>
        <v>0.3033333333333333</v>
      </c>
      <c r="P67" s="17">
        <f t="shared" si="15"/>
        <v>0.13999999999999999</v>
      </c>
      <c r="Q67" s="17">
        <f t="shared" si="15"/>
        <v>0.23333333333333334</v>
      </c>
      <c r="R67" s="17">
        <f t="shared" si="15"/>
        <v>0.19666666666666668</v>
      </c>
      <c r="S67" s="17">
        <f t="shared" si="15"/>
        <v>20.43</v>
      </c>
      <c r="T67" s="17">
        <f t="shared" si="15"/>
        <v>18.006666666666668</v>
      </c>
      <c r="U67" s="17">
        <f>SUM(U65:U66)</f>
        <v>12.453333333333333</v>
      </c>
      <c r="V67" s="17">
        <f>SUM(V65:V66)</f>
        <v>11.190000000000001</v>
      </c>
      <c r="W67" s="17">
        <f>SUM(W65:W66)</f>
        <v>1.4</v>
      </c>
      <c r="X67" s="72">
        <f>SUM(X65:X66)</f>
        <v>1.19</v>
      </c>
      <c r="Y67" s="63"/>
      <c r="Z67" s="58"/>
      <c r="AA67" s="58"/>
      <c r="AB67" s="58"/>
      <c r="AC67" s="58"/>
      <c r="AD67" s="53"/>
      <c r="AE67" s="53"/>
    </row>
    <row r="68" spans="1:31" ht="15" customHeight="1">
      <c r="A68" s="22"/>
      <c r="B68" s="23" t="s">
        <v>15</v>
      </c>
      <c r="C68" s="43"/>
      <c r="D68" s="43"/>
      <c r="E68" s="17">
        <f>SUM(E67,E61,E57,E49,E46)</f>
        <v>111.08999999999999</v>
      </c>
      <c r="F68" s="17">
        <f aca="true" t="shared" si="16" ref="F68:T68">SUM(F67,F61,F57,F49,F46)</f>
        <v>100.41999999999999</v>
      </c>
      <c r="G68" s="17">
        <f t="shared" si="16"/>
        <v>62.06</v>
      </c>
      <c r="H68" s="17">
        <f t="shared" si="16"/>
        <v>58.300000000000004</v>
      </c>
      <c r="I68" s="17">
        <f t="shared" si="16"/>
        <v>44.71000000000001</v>
      </c>
      <c r="J68" s="17">
        <f t="shared" si="16"/>
        <v>40.521</v>
      </c>
      <c r="K68" s="17">
        <f t="shared" si="16"/>
        <v>236.87</v>
      </c>
      <c r="L68" s="17">
        <f t="shared" si="16"/>
        <v>209.57</v>
      </c>
      <c r="M68" s="17">
        <f t="shared" si="16"/>
        <v>1658.3399999999997</v>
      </c>
      <c r="N68" s="17">
        <f t="shared" si="16"/>
        <v>1483.9233333333332</v>
      </c>
      <c r="O68" s="17">
        <f t="shared" si="16"/>
        <v>1.1073333333333333</v>
      </c>
      <c r="P68" s="17">
        <f t="shared" si="16"/>
        <v>0.7798591549295775</v>
      </c>
      <c r="Q68" s="17">
        <f t="shared" si="16"/>
        <v>1.3173333333333332</v>
      </c>
      <c r="R68" s="17">
        <f t="shared" si="16"/>
        <v>1.0774295774647888</v>
      </c>
      <c r="S68" s="17">
        <f t="shared" si="16"/>
        <v>78.69</v>
      </c>
      <c r="T68" s="17">
        <f t="shared" si="16"/>
        <v>72.94666666666669</v>
      </c>
      <c r="U68" s="17">
        <f>U67+U61+U57+U49+U46</f>
        <v>874.8533333333332</v>
      </c>
      <c r="V68" s="17">
        <f>V67+V61+V57+V49+V46</f>
        <v>726.1218427230046</v>
      </c>
      <c r="W68" s="17">
        <f>W67+W61+W57+W49+W46</f>
        <v>10.382</v>
      </c>
      <c r="X68" s="17">
        <f>X67+X61+X57+X49+X46</f>
        <v>7.6663262910798124</v>
      </c>
      <c r="Y68" s="72">
        <f>Y67+Y61+Y57+Y49+Y46</f>
        <v>0</v>
      </c>
      <c r="Z68" s="58"/>
      <c r="AA68" s="58"/>
      <c r="AB68" s="58"/>
      <c r="AC68" s="58"/>
      <c r="AD68" s="53"/>
      <c r="AE68" s="53"/>
    </row>
    <row r="69" spans="1:31" ht="15" customHeight="1">
      <c r="A69" s="22"/>
      <c r="B69" s="90" t="s">
        <v>165</v>
      </c>
      <c r="C69" s="43"/>
      <c r="D69" s="43"/>
      <c r="E69" s="17"/>
      <c r="F69" s="28"/>
      <c r="G69" s="28"/>
      <c r="H69" s="29"/>
      <c r="I69" s="29"/>
      <c r="J69" s="29"/>
      <c r="K69" s="29"/>
      <c r="L69" s="29"/>
      <c r="M69" s="29"/>
      <c r="N69" s="29"/>
      <c r="O69" s="41"/>
      <c r="P69" s="41"/>
      <c r="Q69" s="41"/>
      <c r="R69" s="41"/>
      <c r="S69" s="41"/>
      <c r="T69" s="41"/>
      <c r="U69" s="41"/>
      <c r="V69" s="41"/>
      <c r="W69" s="41"/>
      <c r="X69" s="75"/>
      <c r="Y69" s="54"/>
      <c r="Z69" s="53"/>
      <c r="AA69" s="53"/>
      <c r="AB69" s="53"/>
      <c r="AC69" s="53"/>
      <c r="AD69" s="53"/>
      <c r="AE69" s="53"/>
    </row>
    <row r="70" spans="1:31" ht="15" customHeight="1">
      <c r="A70" s="22"/>
      <c r="B70" s="91" t="s">
        <v>4</v>
      </c>
      <c r="C70" s="43"/>
      <c r="D70" s="43"/>
      <c r="E70" s="28"/>
      <c r="F70" s="28"/>
      <c r="G70" s="28"/>
      <c r="H70" s="29"/>
      <c r="I70" s="29"/>
      <c r="J70" s="29"/>
      <c r="K70" s="29"/>
      <c r="L70" s="29"/>
      <c r="M70" s="29"/>
      <c r="N70" s="29"/>
      <c r="O70" s="41"/>
      <c r="P70" s="41"/>
      <c r="Q70" s="41"/>
      <c r="R70" s="41"/>
      <c r="S70" s="41"/>
      <c r="T70" s="41"/>
      <c r="U70" s="41"/>
      <c r="V70" s="41"/>
      <c r="W70" s="41"/>
      <c r="X70" s="75"/>
      <c r="Y70" s="54"/>
      <c r="Z70" s="53"/>
      <c r="AA70" s="53"/>
      <c r="AB70" s="53"/>
      <c r="AC70" s="53"/>
      <c r="AD70" s="53"/>
      <c r="AE70" s="53"/>
    </row>
    <row r="71" spans="1:30" s="1" customFormat="1" ht="14.25" customHeight="1">
      <c r="A71" s="119" t="s">
        <v>60</v>
      </c>
      <c r="B71" s="23" t="s">
        <v>131</v>
      </c>
      <c r="C71" s="43" t="s">
        <v>187</v>
      </c>
      <c r="D71" s="43" t="s">
        <v>132</v>
      </c>
      <c r="E71" s="28">
        <v>10.04</v>
      </c>
      <c r="F71" s="28">
        <v>7.11</v>
      </c>
      <c r="G71" s="28">
        <v>2.93</v>
      </c>
      <c r="H71" s="29">
        <v>2.93</v>
      </c>
      <c r="I71" s="28">
        <v>6.05</v>
      </c>
      <c r="J71" s="29">
        <v>6.05</v>
      </c>
      <c r="K71" s="28">
        <v>10.4</v>
      </c>
      <c r="L71" s="29">
        <v>10.4</v>
      </c>
      <c r="M71" s="28">
        <v>107.77</v>
      </c>
      <c r="N71" s="29">
        <v>107.77</v>
      </c>
      <c r="O71" s="29">
        <v>0.08</v>
      </c>
      <c r="P71" s="29">
        <f>O71*40/60</f>
        <v>0.05333333333333334</v>
      </c>
      <c r="Q71" s="29">
        <v>0.06</v>
      </c>
      <c r="R71" s="29">
        <f>Q71*40/60</f>
        <v>0.04</v>
      </c>
      <c r="S71" s="28">
        <v>0.14</v>
      </c>
      <c r="T71" s="29">
        <v>0.14</v>
      </c>
      <c r="U71" s="29">
        <v>70.8</v>
      </c>
      <c r="V71" s="29">
        <f>U71*40/60</f>
        <v>47.2</v>
      </c>
      <c r="W71" s="29">
        <v>0.81</v>
      </c>
      <c r="X71" s="74">
        <f>W71*40/60</f>
        <v>0.5400000000000001</v>
      </c>
      <c r="Y71" s="59"/>
      <c r="Z71" s="57"/>
      <c r="AA71" s="57"/>
      <c r="AB71" s="57"/>
      <c r="AC71" s="57"/>
      <c r="AD71" s="57"/>
    </row>
    <row r="72" spans="1:24" ht="15" customHeight="1">
      <c r="A72" s="120" t="s">
        <v>72</v>
      </c>
      <c r="B72" s="64" t="s">
        <v>101</v>
      </c>
      <c r="C72" s="106">
        <v>200</v>
      </c>
      <c r="D72" s="106">
        <v>150</v>
      </c>
      <c r="E72" s="61">
        <v>7.02</v>
      </c>
      <c r="F72" s="61">
        <v>5.27</v>
      </c>
      <c r="G72" s="28">
        <v>5.76</v>
      </c>
      <c r="H72" s="28">
        <f>G72*150/200</f>
        <v>4.32</v>
      </c>
      <c r="I72" s="28">
        <v>6.64</v>
      </c>
      <c r="J72" s="28">
        <f>I72*150/200</f>
        <v>4.98</v>
      </c>
      <c r="K72" s="28">
        <v>19.28</v>
      </c>
      <c r="L72" s="28">
        <f>K72*150/200</f>
        <v>14.46</v>
      </c>
      <c r="M72" s="28">
        <v>160</v>
      </c>
      <c r="N72" s="28">
        <f>M72*150/200</f>
        <v>120</v>
      </c>
      <c r="O72" s="29">
        <v>0.09</v>
      </c>
      <c r="P72" s="28">
        <f>O72*150/200</f>
        <v>0.0675</v>
      </c>
      <c r="Q72" s="29">
        <v>0.14</v>
      </c>
      <c r="R72" s="28">
        <f>Q72*150/200</f>
        <v>0.10500000000000002</v>
      </c>
      <c r="S72" s="29">
        <v>0.9</v>
      </c>
      <c r="T72" s="28">
        <f>S72*150/200</f>
        <v>0.675</v>
      </c>
      <c r="U72" s="62">
        <v>129.32</v>
      </c>
      <c r="V72" s="61">
        <f>U72*150/200</f>
        <v>96.99</v>
      </c>
      <c r="W72" s="62">
        <v>0.42</v>
      </c>
      <c r="X72" s="61">
        <f>W72*150/200</f>
        <v>0.315</v>
      </c>
    </row>
    <row r="73" spans="1:31" ht="15.75" customHeight="1">
      <c r="A73" s="119" t="s">
        <v>50</v>
      </c>
      <c r="B73" s="23" t="s">
        <v>53</v>
      </c>
      <c r="C73" s="43" t="s">
        <v>31</v>
      </c>
      <c r="D73" s="43" t="s">
        <v>6</v>
      </c>
      <c r="E73" s="28">
        <v>5.86</v>
      </c>
      <c r="F73" s="28">
        <v>4.74</v>
      </c>
      <c r="G73" s="28">
        <v>2.85</v>
      </c>
      <c r="H73" s="29">
        <v>2.34</v>
      </c>
      <c r="I73" s="28">
        <v>2.41</v>
      </c>
      <c r="J73" s="29">
        <v>2</v>
      </c>
      <c r="K73" s="28">
        <v>14.36</v>
      </c>
      <c r="L73" s="29">
        <v>10.63</v>
      </c>
      <c r="M73" s="28">
        <v>91</v>
      </c>
      <c r="N73" s="29">
        <v>70</v>
      </c>
      <c r="O73" s="28">
        <f>P73*180/150</f>
        <v>0.012</v>
      </c>
      <c r="P73" s="44">
        <v>0.01</v>
      </c>
      <c r="Q73" s="28">
        <f>R73*180/150</f>
        <v>0.084</v>
      </c>
      <c r="R73" s="44">
        <v>0.07</v>
      </c>
      <c r="S73" s="28">
        <v>1.17</v>
      </c>
      <c r="T73" s="29">
        <f>S73*150/180</f>
        <v>0.975</v>
      </c>
      <c r="U73" s="28">
        <f>V73*180/150</f>
        <v>57.516</v>
      </c>
      <c r="V73" s="44">
        <v>47.93</v>
      </c>
      <c r="W73" s="28">
        <f>X73*180/150</f>
        <v>0.264</v>
      </c>
      <c r="X73" s="44">
        <v>0.22</v>
      </c>
      <c r="Y73" s="53"/>
      <c r="Z73" s="53"/>
      <c r="AA73" s="53"/>
      <c r="AB73" s="53"/>
      <c r="AC73" s="53"/>
      <c r="AD73" s="53"/>
      <c r="AE73" s="53"/>
    </row>
    <row r="74" spans="1:31" ht="15" customHeight="1">
      <c r="A74" s="22"/>
      <c r="B74" s="23" t="s">
        <v>7</v>
      </c>
      <c r="C74" s="43"/>
      <c r="D74" s="43"/>
      <c r="E74" s="17">
        <f>SUM(E71:E73)</f>
        <v>22.919999999999998</v>
      </c>
      <c r="F74" s="17">
        <f aca="true" t="shared" si="17" ref="F74:T74">SUM(F71:F73)</f>
        <v>17.119999999999997</v>
      </c>
      <c r="G74" s="17">
        <f t="shared" si="17"/>
        <v>11.54</v>
      </c>
      <c r="H74" s="17">
        <f t="shared" si="17"/>
        <v>9.59</v>
      </c>
      <c r="I74" s="17">
        <f t="shared" si="17"/>
        <v>15.1</v>
      </c>
      <c r="J74" s="17">
        <f t="shared" si="17"/>
        <v>13.030000000000001</v>
      </c>
      <c r="K74" s="17">
        <f t="shared" si="17"/>
        <v>44.04</v>
      </c>
      <c r="L74" s="17">
        <f t="shared" si="17"/>
        <v>35.49</v>
      </c>
      <c r="M74" s="17">
        <f t="shared" si="17"/>
        <v>358.77</v>
      </c>
      <c r="N74" s="17">
        <f t="shared" si="17"/>
        <v>297.77</v>
      </c>
      <c r="O74" s="17">
        <f t="shared" si="17"/>
        <v>0.182</v>
      </c>
      <c r="P74" s="17">
        <f t="shared" si="17"/>
        <v>0.13083333333333336</v>
      </c>
      <c r="Q74" s="17">
        <f t="shared" si="17"/>
        <v>0.28400000000000003</v>
      </c>
      <c r="R74" s="17">
        <f t="shared" si="17"/>
        <v>0.21500000000000002</v>
      </c>
      <c r="S74" s="17">
        <f t="shared" si="17"/>
        <v>2.21</v>
      </c>
      <c r="T74" s="17">
        <f t="shared" si="17"/>
        <v>1.79</v>
      </c>
      <c r="U74" s="17">
        <f aca="true" t="shared" si="18" ref="U74:AB74">SUM(U71:U73)</f>
        <v>257.636</v>
      </c>
      <c r="V74" s="17">
        <f t="shared" si="18"/>
        <v>192.12</v>
      </c>
      <c r="W74" s="17">
        <f t="shared" si="18"/>
        <v>1.494</v>
      </c>
      <c r="X74" s="17">
        <f t="shared" si="18"/>
        <v>1.0750000000000002</v>
      </c>
      <c r="Y74" s="17">
        <f t="shared" si="18"/>
        <v>0</v>
      </c>
      <c r="Z74" s="17">
        <f t="shared" si="18"/>
        <v>0</v>
      </c>
      <c r="AA74" s="17">
        <f t="shared" si="18"/>
        <v>0</v>
      </c>
      <c r="AB74" s="17">
        <f t="shared" si="18"/>
        <v>0</v>
      </c>
      <c r="AC74" s="58"/>
      <c r="AD74" s="58"/>
      <c r="AE74" s="53"/>
    </row>
    <row r="75" spans="1:31" ht="15" customHeight="1">
      <c r="A75" s="22"/>
      <c r="B75" s="91" t="s">
        <v>16</v>
      </c>
      <c r="C75" s="43"/>
      <c r="D75" s="43"/>
      <c r="E75" s="28"/>
      <c r="F75" s="28"/>
      <c r="G75" s="28"/>
      <c r="H75" s="29"/>
      <c r="I75" s="29"/>
      <c r="J75" s="29"/>
      <c r="K75" s="29"/>
      <c r="L75" s="29"/>
      <c r="M75" s="29"/>
      <c r="N75" s="29"/>
      <c r="O75" s="41"/>
      <c r="P75" s="41"/>
      <c r="Q75" s="41"/>
      <c r="R75" s="41"/>
      <c r="S75" s="41"/>
      <c r="T75" s="41"/>
      <c r="U75" s="41"/>
      <c r="V75" s="41"/>
      <c r="W75" s="41"/>
      <c r="X75" s="75"/>
      <c r="Y75" s="54"/>
      <c r="Z75" s="53"/>
      <c r="AA75" s="53"/>
      <c r="AB75" s="53"/>
      <c r="AC75" s="53"/>
      <c r="AD75" s="53"/>
      <c r="AE75" s="53"/>
    </row>
    <row r="76" spans="1:30" ht="15" customHeight="1">
      <c r="A76" s="120" t="s">
        <v>25</v>
      </c>
      <c r="B76" s="64" t="s">
        <v>67</v>
      </c>
      <c r="C76" s="65" t="s">
        <v>6</v>
      </c>
      <c r="D76" s="65" t="s">
        <v>103</v>
      </c>
      <c r="E76" s="61">
        <v>12.36</v>
      </c>
      <c r="F76" s="61">
        <v>11.12</v>
      </c>
      <c r="G76" s="66">
        <v>4.35</v>
      </c>
      <c r="H76" s="66">
        <v>3.91</v>
      </c>
      <c r="I76" s="66">
        <v>4.97</v>
      </c>
      <c r="J76" s="66">
        <v>4.47</v>
      </c>
      <c r="K76" s="66">
        <v>6.37</v>
      </c>
      <c r="L76" s="66">
        <v>5.63</v>
      </c>
      <c r="M76" s="66">
        <v>87.56</v>
      </c>
      <c r="N76" s="66">
        <v>79</v>
      </c>
      <c r="O76" s="66">
        <f>P76*180/150</f>
        <v>0.06</v>
      </c>
      <c r="P76" s="66">
        <v>0.05</v>
      </c>
      <c r="Q76" s="66">
        <f>R76*180/150</f>
        <v>0.31200000000000006</v>
      </c>
      <c r="R76" s="66">
        <v>0.26</v>
      </c>
      <c r="S76" s="66">
        <v>1.12</v>
      </c>
      <c r="T76" s="66">
        <v>1.01</v>
      </c>
      <c r="U76" s="28">
        <v>235.31</v>
      </c>
      <c r="V76" s="29">
        <f>U76*150/180</f>
        <v>196.09166666666667</v>
      </c>
      <c r="W76" s="28">
        <v>0.19</v>
      </c>
      <c r="X76" s="74">
        <f>W76*150/180</f>
        <v>0.15833333333333333</v>
      </c>
      <c r="Y76" s="59"/>
      <c r="Z76" s="57"/>
      <c r="AA76" s="57"/>
      <c r="AB76" s="57"/>
      <c r="AC76" s="57"/>
      <c r="AD76" s="57"/>
    </row>
    <row r="77" spans="1:31" ht="15" customHeight="1">
      <c r="A77" s="22"/>
      <c r="B77" s="23" t="s">
        <v>7</v>
      </c>
      <c r="C77" s="43"/>
      <c r="D77" s="43"/>
      <c r="E77" s="17">
        <f>SUM(E76)</f>
        <v>12.36</v>
      </c>
      <c r="F77" s="17">
        <f aca="true" t="shared" si="19" ref="F77:T77">SUM(F76)</f>
        <v>11.12</v>
      </c>
      <c r="G77" s="17">
        <f t="shared" si="19"/>
        <v>4.35</v>
      </c>
      <c r="H77" s="17">
        <f t="shared" si="19"/>
        <v>3.91</v>
      </c>
      <c r="I77" s="17">
        <f t="shared" si="19"/>
        <v>4.97</v>
      </c>
      <c r="J77" s="17">
        <f t="shared" si="19"/>
        <v>4.47</v>
      </c>
      <c r="K77" s="17">
        <f t="shared" si="19"/>
        <v>6.37</v>
      </c>
      <c r="L77" s="17">
        <f t="shared" si="19"/>
        <v>5.63</v>
      </c>
      <c r="M77" s="17">
        <f t="shared" si="19"/>
        <v>87.56</v>
      </c>
      <c r="N77" s="17">
        <f t="shared" si="19"/>
        <v>79</v>
      </c>
      <c r="O77" s="17">
        <f t="shared" si="19"/>
        <v>0.06</v>
      </c>
      <c r="P77" s="17">
        <f t="shared" si="19"/>
        <v>0.05</v>
      </c>
      <c r="Q77" s="17">
        <f t="shared" si="19"/>
        <v>0.31200000000000006</v>
      </c>
      <c r="R77" s="17">
        <f t="shared" si="19"/>
        <v>0.26</v>
      </c>
      <c r="S77" s="17">
        <f t="shared" si="19"/>
        <v>1.12</v>
      </c>
      <c r="T77" s="17">
        <f t="shared" si="19"/>
        <v>1.01</v>
      </c>
      <c r="U77" s="17">
        <f aca="true" t="shared" si="20" ref="U77:AB77">SUM(U76)</f>
        <v>235.31</v>
      </c>
      <c r="V77" s="17">
        <f t="shared" si="20"/>
        <v>196.09166666666667</v>
      </c>
      <c r="W77" s="17">
        <f t="shared" si="20"/>
        <v>0.19</v>
      </c>
      <c r="X77" s="17">
        <f t="shared" si="20"/>
        <v>0.15833333333333333</v>
      </c>
      <c r="Y77" s="17">
        <f t="shared" si="20"/>
        <v>0</v>
      </c>
      <c r="Z77" s="17">
        <f t="shared" si="20"/>
        <v>0</v>
      </c>
      <c r="AA77" s="17">
        <f t="shared" si="20"/>
        <v>0</v>
      </c>
      <c r="AB77" s="17">
        <f t="shared" si="20"/>
        <v>0</v>
      </c>
      <c r="AC77" s="58"/>
      <c r="AD77" s="53"/>
      <c r="AE77" s="53"/>
    </row>
    <row r="78" spans="1:31" ht="15" customHeight="1">
      <c r="A78" s="22"/>
      <c r="B78" s="91" t="s">
        <v>9</v>
      </c>
      <c r="C78" s="43"/>
      <c r="D78" s="43"/>
      <c r="E78" s="28"/>
      <c r="F78" s="28"/>
      <c r="G78" s="28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74"/>
      <c r="Y78" s="59"/>
      <c r="Z78" s="57"/>
      <c r="AA78" s="57"/>
      <c r="AB78" s="57"/>
      <c r="AC78" s="57"/>
      <c r="AD78" s="53"/>
      <c r="AE78" s="53"/>
    </row>
    <row r="79" spans="1:24" ht="15.75" customHeight="1">
      <c r="A79" s="124"/>
      <c r="B79" s="23" t="s">
        <v>144</v>
      </c>
      <c r="C79" s="43" t="s">
        <v>30</v>
      </c>
      <c r="D79" s="43" t="s">
        <v>87</v>
      </c>
      <c r="E79" s="28">
        <v>5.81</v>
      </c>
      <c r="F79" s="28">
        <v>4.84</v>
      </c>
      <c r="G79" s="29">
        <v>0.67</v>
      </c>
      <c r="H79" s="29">
        <v>0.56</v>
      </c>
      <c r="I79" s="29">
        <v>0</v>
      </c>
      <c r="J79" s="29">
        <f>I79*30/40</f>
        <v>0</v>
      </c>
      <c r="K79" s="29">
        <v>1.77</v>
      </c>
      <c r="L79" s="29">
        <v>1.48</v>
      </c>
      <c r="M79" s="29">
        <v>9.79</v>
      </c>
      <c r="N79" s="29">
        <v>8.16</v>
      </c>
      <c r="O79" s="40">
        <v>0.02</v>
      </c>
      <c r="P79" s="29">
        <f>O79*30/40</f>
        <v>0.015</v>
      </c>
      <c r="Q79" s="40">
        <v>0.02</v>
      </c>
      <c r="R79" s="29">
        <f>Q79*30/40</f>
        <v>0.015</v>
      </c>
      <c r="S79" s="29">
        <v>15.3</v>
      </c>
      <c r="T79" s="29">
        <v>12.75</v>
      </c>
      <c r="U79" s="40">
        <v>5.6</v>
      </c>
      <c r="V79" s="29">
        <f>U79*30/40</f>
        <v>4.2</v>
      </c>
      <c r="W79" s="40">
        <v>0.56</v>
      </c>
      <c r="X79" s="29">
        <f>W79*30/40</f>
        <v>0.42000000000000004</v>
      </c>
    </row>
    <row r="80" spans="1:29" ht="27.75" customHeight="1">
      <c r="A80" s="128" t="s">
        <v>99</v>
      </c>
      <c r="B80" s="129" t="s">
        <v>100</v>
      </c>
      <c r="C80" s="130" t="s">
        <v>61</v>
      </c>
      <c r="D80" s="130" t="s">
        <v>62</v>
      </c>
      <c r="E80" s="151">
        <v>14.26</v>
      </c>
      <c r="F80" s="151">
        <v>13.08</v>
      </c>
      <c r="G80" s="117">
        <v>7.64</v>
      </c>
      <c r="H80" s="117">
        <f>G80*175/225</f>
        <v>5.942222222222222</v>
      </c>
      <c r="I80" s="117">
        <v>7.74</v>
      </c>
      <c r="J80" s="117">
        <f>I80*175/225</f>
        <v>6.02</v>
      </c>
      <c r="K80" s="117">
        <v>11.42</v>
      </c>
      <c r="L80" s="117">
        <f>K80*175/225</f>
        <v>8.882222222222222</v>
      </c>
      <c r="M80" s="117">
        <v>148</v>
      </c>
      <c r="N80" s="117">
        <f>M80*175/225</f>
        <v>115.11111111111111</v>
      </c>
      <c r="O80" s="117">
        <v>0.21</v>
      </c>
      <c r="P80" s="117">
        <f>O80*150/200</f>
        <v>0.1575</v>
      </c>
      <c r="Q80" s="117">
        <v>0.05</v>
      </c>
      <c r="R80" s="117">
        <f>Q80*150/200</f>
        <v>0.0375</v>
      </c>
      <c r="S80" s="117">
        <v>0.65</v>
      </c>
      <c r="T80" s="117">
        <f>S80*175/225</f>
        <v>0.5055555555555555</v>
      </c>
      <c r="U80" s="29"/>
      <c r="V80" s="29"/>
      <c r="W80" s="29"/>
      <c r="X80" s="29"/>
      <c r="Z80" s="53"/>
      <c r="AA80" s="53"/>
      <c r="AB80" s="53"/>
      <c r="AC80" s="53"/>
    </row>
    <row r="81" spans="1:29" s="16" customFormat="1" ht="24.75" customHeight="1">
      <c r="A81" s="137" t="s">
        <v>142</v>
      </c>
      <c r="B81" s="23" t="s">
        <v>143</v>
      </c>
      <c r="C81" s="43" t="s">
        <v>10</v>
      </c>
      <c r="D81" s="43" t="s">
        <v>10</v>
      </c>
      <c r="E81" s="28">
        <v>14.15</v>
      </c>
      <c r="F81" s="28">
        <v>14.15</v>
      </c>
      <c r="G81" s="29">
        <v>9.26</v>
      </c>
      <c r="H81" s="29">
        <v>9.26</v>
      </c>
      <c r="I81" s="29">
        <v>8.04</v>
      </c>
      <c r="J81" s="29">
        <v>8.04</v>
      </c>
      <c r="K81" s="29">
        <v>1.27</v>
      </c>
      <c r="L81" s="29">
        <v>1.27</v>
      </c>
      <c r="M81" s="29">
        <v>175.08</v>
      </c>
      <c r="N81" s="29">
        <v>175.08</v>
      </c>
      <c r="O81" s="29">
        <v>0.06</v>
      </c>
      <c r="P81" s="29">
        <v>0.06</v>
      </c>
      <c r="Q81" s="29">
        <v>0.1</v>
      </c>
      <c r="R81" s="29">
        <v>0.1</v>
      </c>
      <c r="S81" s="29">
        <v>0.5</v>
      </c>
      <c r="T81" s="29">
        <v>0.5</v>
      </c>
      <c r="U81" s="29">
        <v>14.79</v>
      </c>
      <c r="V81" s="29">
        <v>14.79</v>
      </c>
      <c r="W81" s="29">
        <v>2.27</v>
      </c>
      <c r="X81" s="74">
        <v>2.27</v>
      </c>
      <c r="Y81" s="55"/>
      <c r="Z81" s="56"/>
      <c r="AA81" s="56"/>
      <c r="AB81" s="56"/>
      <c r="AC81" s="56"/>
    </row>
    <row r="82" spans="1:29" s="77" customFormat="1" ht="16.5" customHeight="1">
      <c r="A82" s="120" t="s">
        <v>170</v>
      </c>
      <c r="B82" s="67" t="s">
        <v>78</v>
      </c>
      <c r="C82" s="65" t="s">
        <v>6</v>
      </c>
      <c r="D82" s="65" t="s">
        <v>69</v>
      </c>
      <c r="E82" s="78">
        <v>7.07</v>
      </c>
      <c r="F82" s="61">
        <v>6.13</v>
      </c>
      <c r="G82" s="62">
        <v>3</v>
      </c>
      <c r="H82" s="62">
        <v>2.6</v>
      </c>
      <c r="I82" s="62">
        <v>12.45</v>
      </c>
      <c r="J82" s="62">
        <v>10.79</v>
      </c>
      <c r="K82" s="62">
        <v>17.25</v>
      </c>
      <c r="L82" s="62">
        <v>14.95</v>
      </c>
      <c r="M82" s="62">
        <v>193.05</v>
      </c>
      <c r="N82" s="62">
        <v>167.31</v>
      </c>
      <c r="O82" s="71">
        <v>0</v>
      </c>
      <c r="P82" s="80">
        <v>0.1</v>
      </c>
      <c r="Q82" s="71">
        <v>0.09</v>
      </c>
      <c r="R82" s="80">
        <v>0.06</v>
      </c>
      <c r="S82" s="62">
        <v>9.48</v>
      </c>
      <c r="T82" s="62">
        <v>9.48</v>
      </c>
      <c r="U82" s="29">
        <v>95.29</v>
      </c>
      <c r="V82" s="29">
        <v>73.98</v>
      </c>
      <c r="W82" s="29">
        <v>2.33</v>
      </c>
      <c r="X82" s="74">
        <v>1.57</v>
      </c>
      <c r="Y82" s="112"/>
      <c r="Z82" s="83"/>
      <c r="AA82" s="83"/>
      <c r="AB82" s="83"/>
      <c r="AC82" s="83"/>
    </row>
    <row r="83" spans="1:33" ht="15" customHeight="1">
      <c r="A83" s="120" t="s">
        <v>93</v>
      </c>
      <c r="B83" s="125" t="s">
        <v>94</v>
      </c>
      <c r="C83" s="111" t="s">
        <v>5</v>
      </c>
      <c r="D83" s="111" t="s">
        <v>6</v>
      </c>
      <c r="E83" s="78">
        <v>3.38</v>
      </c>
      <c r="F83" s="150">
        <v>2.54</v>
      </c>
      <c r="G83" s="66">
        <v>0.2</v>
      </c>
      <c r="H83" s="68">
        <f>G83*150/200</f>
        <v>0.15</v>
      </c>
      <c r="I83" s="66">
        <v>0</v>
      </c>
      <c r="J83" s="68">
        <f>I83*150/200</f>
        <v>0</v>
      </c>
      <c r="K83" s="66">
        <v>21.6</v>
      </c>
      <c r="L83" s="68">
        <f>K83*150/200</f>
        <v>16.2</v>
      </c>
      <c r="M83" s="66">
        <v>87.2</v>
      </c>
      <c r="N83" s="68">
        <f>M83*150/200</f>
        <v>65.4</v>
      </c>
      <c r="O83" s="66">
        <v>0.01</v>
      </c>
      <c r="P83" s="62">
        <f>O83*150/200</f>
        <v>0.0075</v>
      </c>
      <c r="Q83" s="66">
        <v>0.01</v>
      </c>
      <c r="R83" s="62">
        <f>Q83*150/200</f>
        <v>0.0075</v>
      </c>
      <c r="S83" s="66">
        <v>25.8</v>
      </c>
      <c r="T83" s="62">
        <f>S83*150/200</f>
        <v>19.35</v>
      </c>
      <c r="U83" s="66">
        <v>11.5</v>
      </c>
      <c r="V83" s="62">
        <f>U83*150/200</f>
        <v>8.625</v>
      </c>
      <c r="W83" s="146">
        <v>0.48</v>
      </c>
      <c r="X83" s="70">
        <f>W83*150/200</f>
        <v>0.36</v>
      </c>
      <c r="Y83" s="54"/>
      <c r="Z83" s="53"/>
      <c r="AA83" s="53"/>
      <c r="AB83" s="53"/>
      <c r="AC83" s="53"/>
      <c r="AD83" s="53"/>
      <c r="AE83" s="53"/>
      <c r="AF83" s="53"/>
      <c r="AG83" s="53"/>
    </row>
    <row r="84" spans="1:31" s="16" customFormat="1" ht="15" customHeight="1">
      <c r="A84" s="119"/>
      <c r="B84" s="23" t="s">
        <v>11</v>
      </c>
      <c r="C84" s="43" t="s">
        <v>14</v>
      </c>
      <c r="D84" s="43" t="s">
        <v>14</v>
      </c>
      <c r="E84" s="28">
        <v>1.22</v>
      </c>
      <c r="F84" s="28">
        <v>1.22</v>
      </c>
      <c r="G84" s="28">
        <v>1.6</v>
      </c>
      <c r="H84" s="28">
        <v>1.6</v>
      </c>
      <c r="I84" s="28">
        <v>0.4</v>
      </c>
      <c r="J84" s="28">
        <v>0.4</v>
      </c>
      <c r="K84" s="28">
        <v>10</v>
      </c>
      <c r="L84" s="28">
        <v>10</v>
      </c>
      <c r="M84" s="29">
        <v>54</v>
      </c>
      <c r="N84" s="29">
        <v>54</v>
      </c>
      <c r="O84" s="42">
        <v>0.04</v>
      </c>
      <c r="P84" s="47">
        <v>0.04</v>
      </c>
      <c r="Q84" s="42">
        <v>0.02</v>
      </c>
      <c r="R84" s="47">
        <v>0.02</v>
      </c>
      <c r="S84" s="42">
        <v>0</v>
      </c>
      <c r="T84" s="47">
        <v>0</v>
      </c>
      <c r="U84" s="42">
        <v>7.4</v>
      </c>
      <c r="V84" s="47">
        <v>7.4</v>
      </c>
      <c r="W84" s="42">
        <v>0.56</v>
      </c>
      <c r="X84" s="47">
        <v>0.56</v>
      </c>
      <c r="Y84" s="56"/>
      <c r="Z84" s="56"/>
      <c r="AA84" s="56"/>
      <c r="AB84" s="56"/>
      <c r="AC84" s="56"/>
      <c r="AD84" s="56"/>
      <c r="AE84" s="56"/>
    </row>
    <row r="85" spans="1:31" ht="15" customHeight="1">
      <c r="A85" s="119"/>
      <c r="B85" s="23" t="s">
        <v>47</v>
      </c>
      <c r="C85" s="43" t="s">
        <v>70</v>
      </c>
      <c r="D85" s="43" t="s">
        <v>71</v>
      </c>
      <c r="E85" s="28">
        <v>2.3</v>
      </c>
      <c r="F85" s="28">
        <v>2.01</v>
      </c>
      <c r="G85" s="28">
        <v>3.25</v>
      </c>
      <c r="H85" s="29">
        <v>2.84</v>
      </c>
      <c r="I85" s="29">
        <v>0.46</v>
      </c>
      <c r="J85" s="29">
        <f>I85*40.6/46</f>
        <v>0.406</v>
      </c>
      <c r="K85" s="29">
        <v>20.88</v>
      </c>
      <c r="L85" s="29">
        <v>18.27</v>
      </c>
      <c r="M85" s="29">
        <v>102.08</v>
      </c>
      <c r="N85" s="29">
        <v>89.32</v>
      </c>
      <c r="O85" s="40">
        <v>0.06</v>
      </c>
      <c r="P85" s="44">
        <v>0.04</v>
      </c>
      <c r="Q85" s="40">
        <v>0.04</v>
      </c>
      <c r="R85" s="44">
        <v>0.03</v>
      </c>
      <c r="S85" s="40">
        <v>0</v>
      </c>
      <c r="T85" s="29">
        <f>S85*40.6/46</f>
        <v>0</v>
      </c>
      <c r="U85" s="42">
        <v>17</v>
      </c>
      <c r="V85" s="47">
        <v>13.6</v>
      </c>
      <c r="W85" s="42">
        <v>1.15</v>
      </c>
      <c r="X85" s="47">
        <v>0.92</v>
      </c>
      <c r="Y85" s="53"/>
      <c r="Z85" s="53"/>
      <c r="AA85" s="53"/>
      <c r="AB85" s="53"/>
      <c r="AC85" s="53"/>
      <c r="AD85" s="53"/>
      <c r="AE85" s="53"/>
    </row>
    <row r="86" spans="1:31" ht="15" customHeight="1">
      <c r="A86" s="22"/>
      <c r="B86" s="23" t="s">
        <v>7</v>
      </c>
      <c r="C86" s="43"/>
      <c r="D86" s="43"/>
      <c r="E86" s="17">
        <f>SUM(E79:E85)</f>
        <v>48.19</v>
      </c>
      <c r="F86" s="17">
        <f aca="true" t="shared" si="21" ref="F86:T86">SUM(F79:F85)</f>
        <v>43.97</v>
      </c>
      <c r="G86" s="17">
        <f t="shared" si="21"/>
        <v>25.62</v>
      </c>
      <c r="H86" s="17">
        <f t="shared" si="21"/>
        <v>22.952222222222222</v>
      </c>
      <c r="I86" s="17">
        <f t="shared" si="21"/>
        <v>29.089999999999996</v>
      </c>
      <c r="J86" s="17">
        <f t="shared" si="21"/>
        <v>25.655999999999995</v>
      </c>
      <c r="K86" s="17">
        <f t="shared" si="21"/>
        <v>84.19</v>
      </c>
      <c r="L86" s="17">
        <f t="shared" si="21"/>
        <v>71.05222222222221</v>
      </c>
      <c r="M86" s="17">
        <f t="shared" si="21"/>
        <v>769.2000000000002</v>
      </c>
      <c r="N86" s="17">
        <f t="shared" si="21"/>
        <v>674.3811111111111</v>
      </c>
      <c r="O86" s="17">
        <f t="shared" si="21"/>
        <v>0.39999999999999997</v>
      </c>
      <c r="P86" s="17">
        <f t="shared" si="21"/>
        <v>0.42</v>
      </c>
      <c r="Q86" s="17">
        <f t="shared" si="21"/>
        <v>0.33</v>
      </c>
      <c r="R86" s="17">
        <f t="shared" si="21"/>
        <v>0.27</v>
      </c>
      <c r="S86" s="17">
        <f t="shared" si="21"/>
        <v>51.730000000000004</v>
      </c>
      <c r="T86" s="17">
        <f t="shared" si="21"/>
        <v>42.58555555555556</v>
      </c>
      <c r="U86" s="17">
        <f aca="true" t="shared" si="22" ref="U86:AB86">SUM(U80:U85)</f>
        <v>145.98000000000002</v>
      </c>
      <c r="V86" s="17">
        <f t="shared" si="22"/>
        <v>118.39500000000001</v>
      </c>
      <c r="W86" s="17">
        <f t="shared" si="22"/>
        <v>6.790000000000001</v>
      </c>
      <c r="X86" s="17">
        <f t="shared" si="22"/>
        <v>5.68</v>
      </c>
      <c r="Y86" s="17">
        <f t="shared" si="22"/>
        <v>0</v>
      </c>
      <c r="Z86" s="17">
        <f t="shared" si="22"/>
        <v>0</v>
      </c>
      <c r="AA86" s="17">
        <f t="shared" si="22"/>
        <v>0</v>
      </c>
      <c r="AB86" s="17">
        <f t="shared" si="22"/>
        <v>0</v>
      </c>
      <c r="AC86" s="58"/>
      <c r="AD86" s="53"/>
      <c r="AE86" s="53"/>
    </row>
    <row r="87" spans="1:31" ht="15" customHeight="1">
      <c r="A87" s="22"/>
      <c r="B87" s="91" t="s">
        <v>17</v>
      </c>
      <c r="C87" s="43"/>
      <c r="D87" s="43"/>
      <c r="E87" s="28"/>
      <c r="F87" s="28"/>
      <c r="G87" s="28"/>
      <c r="H87" s="29"/>
      <c r="I87" s="29"/>
      <c r="J87" s="29"/>
      <c r="K87" s="29"/>
      <c r="L87" s="29"/>
      <c r="M87" s="29"/>
      <c r="N87" s="29"/>
      <c r="O87" s="41"/>
      <c r="P87" s="41"/>
      <c r="Q87" s="41"/>
      <c r="R87" s="41"/>
      <c r="S87" s="41"/>
      <c r="T87" s="41"/>
      <c r="U87" s="41"/>
      <c r="V87" s="41"/>
      <c r="W87" s="41"/>
      <c r="X87" s="75"/>
      <c r="Y87" s="54"/>
      <c r="Z87" s="53"/>
      <c r="AA87" s="53"/>
      <c r="AB87" s="53"/>
      <c r="AC87" s="53"/>
      <c r="AD87" s="53"/>
      <c r="AE87" s="53"/>
    </row>
    <row r="88" spans="1:31" ht="15" customHeight="1">
      <c r="A88" s="119" t="s">
        <v>23</v>
      </c>
      <c r="B88" s="23" t="s">
        <v>20</v>
      </c>
      <c r="C88" s="43" t="s">
        <v>31</v>
      </c>
      <c r="D88" s="43" t="s">
        <v>31</v>
      </c>
      <c r="E88" s="28">
        <v>10.36</v>
      </c>
      <c r="F88" s="28">
        <v>10.36</v>
      </c>
      <c r="G88" s="28">
        <v>5.31</v>
      </c>
      <c r="H88" s="29">
        <v>5.31</v>
      </c>
      <c r="I88" s="28">
        <v>4.5</v>
      </c>
      <c r="J88" s="29">
        <v>4.5</v>
      </c>
      <c r="K88" s="28">
        <v>8.91</v>
      </c>
      <c r="L88" s="29">
        <v>8.91</v>
      </c>
      <c r="M88" s="28">
        <v>97.38</v>
      </c>
      <c r="N88" s="29">
        <v>97.38</v>
      </c>
      <c r="O88" s="28">
        <v>0.07</v>
      </c>
      <c r="P88" s="29">
        <v>0.07</v>
      </c>
      <c r="Q88" s="28">
        <v>0.3</v>
      </c>
      <c r="R88" s="29">
        <v>0.3</v>
      </c>
      <c r="S88" s="28">
        <v>2.46</v>
      </c>
      <c r="T88" s="29">
        <v>2.46</v>
      </c>
      <c r="U88" s="28">
        <v>275.74</v>
      </c>
      <c r="V88" s="29">
        <v>275.74</v>
      </c>
      <c r="W88" s="28">
        <v>0.23</v>
      </c>
      <c r="X88" s="29">
        <v>0.23</v>
      </c>
      <c r="Y88" s="57"/>
      <c r="Z88" s="57"/>
      <c r="AA88" s="57"/>
      <c r="AB88" s="57"/>
      <c r="AC88" s="57"/>
      <c r="AD88" s="57"/>
      <c r="AE88" s="53"/>
    </row>
    <row r="89" spans="1:31" ht="15" customHeight="1">
      <c r="A89" s="22"/>
      <c r="B89" s="23" t="s">
        <v>7</v>
      </c>
      <c r="C89" s="43"/>
      <c r="D89" s="43"/>
      <c r="E89" s="17">
        <f>SUM(E88)</f>
        <v>10.36</v>
      </c>
      <c r="F89" s="17">
        <f aca="true" t="shared" si="23" ref="F89:AB89">SUM(F88)</f>
        <v>10.36</v>
      </c>
      <c r="G89" s="17">
        <f t="shared" si="23"/>
        <v>5.31</v>
      </c>
      <c r="H89" s="17">
        <f t="shared" si="23"/>
        <v>5.31</v>
      </c>
      <c r="I89" s="17">
        <f t="shared" si="23"/>
        <v>4.5</v>
      </c>
      <c r="J89" s="17">
        <f t="shared" si="23"/>
        <v>4.5</v>
      </c>
      <c r="K89" s="17">
        <f t="shared" si="23"/>
        <v>8.91</v>
      </c>
      <c r="L89" s="17">
        <f t="shared" si="23"/>
        <v>8.91</v>
      </c>
      <c r="M89" s="17">
        <f t="shared" si="23"/>
        <v>97.38</v>
      </c>
      <c r="N89" s="17">
        <f t="shared" si="23"/>
        <v>97.38</v>
      </c>
      <c r="O89" s="17">
        <f t="shared" si="23"/>
        <v>0.07</v>
      </c>
      <c r="P89" s="17">
        <f t="shared" si="23"/>
        <v>0.07</v>
      </c>
      <c r="Q89" s="17">
        <f t="shared" si="23"/>
        <v>0.3</v>
      </c>
      <c r="R89" s="17">
        <f t="shared" si="23"/>
        <v>0.3</v>
      </c>
      <c r="S89" s="17">
        <f t="shared" si="23"/>
        <v>2.46</v>
      </c>
      <c r="T89" s="17">
        <f t="shared" si="23"/>
        <v>2.46</v>
      </c>
      <c r="U89" s="17">
        <f t="shared" si="23"/>
        <v>275.74</v>
      </c>
      <c r="V89" s="17">
        <f t="shared" si="23"/>
        <v>275.74</v>
      </c>
      <c r="W89" s="17">
        <f t="shared" si="23"/>
        <v>0.23</v>
      </c>
      <c r="X89" s="17">
        <f t="shared" si="23"/>
        <v>0.23</v>
      </c>
      <c r="Y89" s="17">
        <f t="shared" si="23"/>
        <v>0</v>
      </c>
      <c r="Z89" s="17">
        <f t="shared" si="23"/>
        <v>0</v>
      </c>
      <c r="AA89" s="17">
        <f t="shared" si="23"/>
        <v>0</v>
      </c>
      <c r="AB89" s="17">
        <f t="shared" si="23"/>
        <v>0</v>
      </c>
      <c r="AC89" s="58"/>
      <c r="AD89" s="53"/>
      <c r="AE89" s="53"/>
    </row>
    <row r="90" spans="1:31" ht="15" customHeight="1">
      <c r="A90" s="26"/>
      <c r="B90" s="91" t="s">
        <v>13</v>
      </c>
      <c r="C90" s="43"/>
      <c r="D90" s="43"/>
      <c r="E90" s="28"/>
      <c r="F90" s="28"/>
      <c r="G90" s="28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41"/>
      <c r="U90" s="41"/>
      <c r="V90" s="41"/>
      <c r="W90" s="41"/>
      <c r="X90" s="75"/>
      <c r="Y90" s="54"/>
      <c r="Z90" s="53"/>
      <c r="AA90" s="53"/>
      <c r="AB90" s="53"/>
      <c r="AC90" s="53"/>
      <c r="AD90" s="53"/>
      <c r="AE90" s="53"/>
    </row>
    <row r="91" spans="1:33" ht="15" customHeight="1">
      <c r="A91" s="120"/>
      <c r="B91" s="64" t="s">
        <v>57</v>
      </c>
      <c r="C91" s="65" t="s">
        <v>69</v>
      </c>
      <c r="D91" s="65" t="s">
        <v>190</v>
      </c>
      <c r="E91" s="61">
        <v>6.41</v>
      </c>
      <c r="F91" s="61">
        <v>5.72</v>
      </c>
      <c r="G91" s="62">
        <v>0.54</v>
      </c>
      <c r="H91" s="62">
        <v>0.48</v>
      </c>
      <c r="I91" s="61">
        <v>0</v>
      </c>
      <c r="J91" s="62">
        <v>0</v>
      </c>
      <c r="K91" s="62">
        <v>15.26</v>
      </c>
      <c r="L91" s="62">
        <v>13.56</v>
      </c>
      <c r="M91" s="62">
        <v>63.18</v>
      </c>
      <c r="N91" s="62">
        <v>56.16</v>
      </c>
      <c r="O91" s="61">
        <v>0.02</v>
      </c>
      <c r="P91" s="62">
        <v>0.02</v>
      </c>
      <c r="Q91" s="61">
        <f>R91*160/150</f>
        <v>0.05333333333333334</v>
      </c>
      <c r="R91" s="62">
        <v>0.05</v>
      </c>
      <c r="S91" s="62">
        <v>21.6</v>
      </c>
      <c r="T91" s="62">
        <v>19.2</v>
      </c>
      <c r="U91" s="61">
        <v>24</v>
      </c>
      <c r="V91" s="62">
        <v>24</v>
      </c>
      <c r="W91" s="61">
        <v>3.3</v>
      </c>
      <c r="X91" s="70">
        <v>3.3</v>
      </c>
      <c r="Y91" s="54"/>
      <c r="Z91" s="57"/>
      <c r="AA91" s="57"/>
      <c r="AB91" s="57"/>
      <c r="AC91" s="53"/>
      <c r="AD91" s="53"/>
      <c r="AE91" s="53"/>
      <c r="AF91" s="53"/>
      <c r="AG91" s="53"/>
    </row>
    <row r="92" spans="1:31" ht="26.25" customHeight="1">
      <c r="A92" s="22" t="s">
        <v>115</v>
      </c>
      <c r="B92" s="23" t="s">
        <v>116</v>
      </c>
      <c r="C92" s="43" t="s">
        <v>117</v>
      </c>
      <c r="D92" s="43" t="s">
        <v>59</v>
      </c>
      <c r="E92" s="28">
        <v>49.7</v>
      </c>
      <c r="F92" s="28">
        <v>34.03</v>
      </c>
      <c r="G92" s="28">
        <f>H92*150/100</f>
        <v>22.89</v>
      </c>
      <c r="H92" s="29">
        <v>15.26</v>
      </c>
      <c r="I92" s="28">
        <f>J92*150/100</f>
        <v>15.570000000000002</v>
      </c>
      <c r="J92" s="29">
        <v>10.38</v>
      </c>
      <c r="K92" s="28">
        <f>L92*150/100</f>
        <v>41.055</v>
      </c>
      <c r="L92" s="29">
        <v>27.37</v>
      </c>
      <c r="M92" s="28">
        <f>N92*150/100</f>
        <v>396</v>
      </c>
      <c r="N92" s="29">
        <v>264</v>
      </c>
      <c r="O92" s="28">
        <f>P92*150/100</f>
        <v>0.10500000000000002</v>
      </c>
      <c r="P92" s="29">
        <v>0.07</v>
      </c>
      <c r="Q92" s="28">
        <f>R92*150/100</f>
        <v>0.435</v>
      </c>
      <c r="R92" s="29">
        <v>0.29</v>
      </c>
      <c r="S92" s="28">
        <f>T92*150/100</f>
        <v>0.765</v>
      </c>
      <c r="T92" s="29">
        <v>0.51</v>
      </c>
      <c r="U92" s="28">
        <f>V92*150/100</f>
        <v>211.92</v>
      </c>
      <c r="V92" s="29">
        <v>141.28</v>
      </c>
      <c r="W92" s="28">
        <f>X92*150/100</f>
        <v>1.425</v>
      </c>
      <c r="X92" s="29">
        <v>0.95</v>
      </c>
      <c r="Y92" s="1"/>
      <c r="Z92" s="57"/>
      <c r="AA92" s="57"/>
      <c r="AB92" s="57"/>
      <c r="AC92" s="57"/>
      <c r="AD92" s="53"/>
      <c r="AE92" s="53"/>
    </row>
    <row r="93" spans="1:31" ht="15" customHeight="1">
      <c r="A93" s="120" t="s">
        <v>76</v>
      </c>
      <c r="B93" s="67" t="s">
        <v>77</v>
      </c>
      <c r="C93" s="65" t="s">
        <v>5</v>
      </c>
      <c r="D93" s="65" t="s">
        <v>6</v>
      </c>
      <c r="E93" s="61">
        <v>0.5</v>
      </c>
      <c r="F93" s="61">
        <v>0.38</v>
      </c>
      <c r="G93" s="61">
        <v>0.18</v>
      </c>
      <c r="H93" s="62">
        <v>0.13</v>
      </c>
      <c r="I93" s="61">
        <f>J93*200/150</f>
        <v>0</v>
      </c>
      <c r="J93" s="62">
        <v>0</v>
      </c>
      <c r="K93" s="61">
        <v>4.78</v>
      </c>
      <c r="L93" s="62">
        <v>3.58</v>
      </c>
      <c r="M93" s="61">
        <v>19.9</v>
      </c>
      <c r="N93" s="62">
        <v>14.92</v>
      </c>
      <c r="O93" s="61">
        <f>P93*200/150</f>
        <v>0.013333333333333334</v>
      </c>
      <c r="P93" s="69">
        <v>0.01</v>
      </c>
      <c r="Q93" s="61">
        <f>R93*200/150</f>
        <v>0.013333333333333334</v>
      </c>
      <c r="R93" s="69">
        <v>0.01</v>
      </c>
      <c r="S93" s="61">
        <v>0.04</v>
      </c>
      <c r="T93" s="69">
        <v>0.03</v>
      </c>
      <c r="U93" s="61">
        <f>V93*200/150</f>
        <v>5.053333333333334</v>
      </c>
      <c r="V93" s="69">
        <v>3.79</v>
      </c>
      <c r="W93" s="61">
        <f>X93*200/150</f>
        <v>0.84</v>
      </c>
      <c r="X93" s="113">
        <v>0.63</v>
      </c>
      <c r="Y93" s="53"/>
      <c r="Z93" s="53"/>
      <c r="AA93" s="53"/>
      <c r="AB93" s="53"/>
      <c r="AC93" s="53"/>
      <c r="AD93" s="53"/>
      <c r="AE93" s="53"/>
    </row>
    <row r="94" spans="1:31" s="16" customFormat="1" ht="15" customHeight="1">
      <c r="A94" s="119"/>
      <c r="B94" s="23" t="s">
        <v>11</v>
      </c>
      <c r="C94" s="43" t="s">
        <v>14</v>
      </c>
      <c r="D94" s="43" t="s">
        <v>14</v>
      </c>
      <c r="E94" s="28">
        <v>1.22</v>
      </c>
      <c r="F94" s="28">
        <v>1.22</v>
      </c>
      <c r="G94" s="28">
        <v>1.6</v>
      </c>
      <c r="H94" s="28">
        <v>1.6</v>
      </c>
      <c r="I94" s="28">
        <v>0.4</v>
      </c>
      <c r="J94" s="28">
        <v>0.4</v>
      </c>
      <c r="K94" s="28">
        <v>10</v>
      </c>
      <c r="L94" s="28">
        <v>10</v>
      </c>
      <c r="M94" s="29">
        <v>54</v>
      </c>
      <c r="N94" s="29">
        <v>54</v>
      </c>
      <c r="O94" s="42">
        <v>0.04</v>
      </c>
      <c r="P94" s="47">
        <v>0.04</v>
      </c>
      <c r="Q94" s="42">
        <v>0.02</v>
      </c>
      <c r="R94" s="47">
        <v>0.02</v>
      </c>
      <c r="S94" s="42">
        <v>0</v>
      </c>
      <c r="T94" s="47">
        <v>0</v>
      </c>
      <c r="U94" s="42">
        <v>7.4</v>
      </c>
      <c r="V94" s="47">
        <v>7.4</v>
      </c>
      <c r="W94" s="42">
        <v>0.56</v>
      </c>
      <c r="X94" s="47">
        <v>0.56</v>
      </c>
      <c r="Y94" s="56"/>
      <c r="Z94" s="56"/>
      <c r="AA94" s="56"/>
      <c r="AB94" s="56"/>
      <c r="AC94" s="56"/>
      <c r="AD94" s="56"/>
      <c r="AE94" s="56"/>
    </row>
    <row r="95" spans="1:31" ht="15" customHeight="1">
      <c r="A95" s="22"/>
      <c r="B95" s="23" t="s">
        <v>7</v>
      </c>
      <c r="C95" s="43"/>
      <c r="D95" s="43"/>
      <c r="E95" s="17">
        <f>SUM(E91:E94)</f>
        <v>57.83</v>
      </c>
      <c r="F95" s="17">
        <f aca="true" t="shared" si="24" ref="F95:T95">SUM(F91:F94)</f>
        <v>41.35</v>
      </c>
      <c r="G95" s="17">
        <f t="shared" si="24"/>
        <v>25.21</v>
      </c>
      <c r="H95" s="17">
        <f t="shared" si="24"/>
        <v>17.470000000000002</v>
      </c>
      <c r="I95" s="17">
        <f t="shared" si="24"/>
        <v>15.970000000000002</v>
      </c>
      <c r="J95" s="17">
        <f t="shared" si="24"/>
        <v>10.780000000000001</v>
      </c>
      <c r="K95" s="17">
        <f t="shared" si="24"/>
        <v>71.095</v>
      </c>
      <c r="L95" s="17">
        <f t="shared" si="24"/>
        <v>54.51</v>
      </c>
      <c r="M95" s="17">
        <f t="shared" si="24"/>
        <v>533.0799999999999</v>
      </c>
      <c r="N95" s="17">
        <f t="shared" si="24"/>
        <v>389.08</v>
      </c>
      <c r="O95" s="17">
        <f t="shared" si="24"/>
        <v>0.17833333333333337</v>
      </c>
      <c r="P95" s="17">
        <f t="shared" si="24"/>
        <v>0.14</v>
      </c>
      <c r="Q95" s="17">
        <f t="shared" si="24"/>
        <v>0.5216666666666667</v>
      </c>
      <c r="R95" s="17">
        <f t="shared" si="24"/>
        <v>0.37</v>
      </c>
      <c r="S95" s="17">
        <f t="shared" si="24"/>
        <v>22.405</v>
      </c>
      <c r="T95" s="17">
        <f t="shared" si="24"/>
        <v>19.740000000000002</v>
      </c>
      <c r="U95" s="17">
        <f>SUM(U93:U94)</f>
        <v>12.453333333333333</v>
      </c>
      <c r="V95" s="17">
        <f>SUM(V93:V94)</f>
        <v>11.190000000000001</v>
      </c>
      <c r="W95" s="17">
        <f>SUM(W93:W94)</f>
        <v>1.4</v>
      </c>
      <c r="X95" s="17">
        <f>SUM(X93:X94)</f>
        <v>1.19</v>
      </c>
      <c r="Y95" s="72">
        <f>SUM(Y93:Y94)</f>
        <v>0</v>
      </c>
      <c r="Z95" s="58"/>
      <c r="AA95" s="58"/>
      <c r="AB95" s="58"/>
      <c r="AC95" s="58"/>
      <c r="AD95" s="53"/>
      <c r="AE95" s="53"/>
    </row>
    <row r="96" spans="1:31" ht="15" customHeight="1">
      <c r="A96" s="22"/>
      <c r="B96" s="23" t="s">
        <v>15</v>
      </c>
      <c r="C96" s="43"/>
      <c r="D96" s="28"/>
      <c r="E96" s="17">
        <f aca="true" t="shared" si="25" ref="E96:T96">SUM(E95,E89,E86,E77,E74)</f>
        <v>151.66</v>
      </c>
      <c r="F96" s="17">
        <f t="shared" si="25"/>
        <v>123.92000000000002</v>
      </c>
      <c r="G96" s="17">
        <f t="shared" si="25"/>
        <v>72.03</v>
      </c>
      <c r="H96" s="17">
        <f t="shared" si="25"/>
        <v>59.23222222222222</v>
      </c>
      <c r="I96" s="17">
        <f t="shared" si="25"/>
        <v>69.63</v>
      </c>
      <c r="J96" s="17">
        <f t="shared" si="25"/>
        <v>58.43599999999999</v>
      </c>
      <c r="K96" s="17">
        <f t="shared" si="25"/>
        <v>214.605</v>
      </c>
      <c r="L96" s="17">
        <f t="shared" si="25"/>
        <v>175.59222222222223</v>
      </c>
      <c r="M96" s="17">
        <f t="shared" si="25"/>
        <v>1845.99</v>
      </c>
      <c r="N96" s="17">
        <f t="shared" si="25"/>
        <v>1537.611111111111</v>
      </c>
      <c r="O96" s="17">
        <f t="shared" si="25"/>
        <v>0.8903333333333332</v>
      </c>
      <c r="P96" s="17">
        <f t="shared" si="25"/>
        <v>0.8108333333333334</v>
      </c>
      <c r="Q96" s="17">
        <f t="shared" si="25"/>
        <v>1.747666666666667</v>
      </c>
      <c r="R96" s="17">
        <f t="shared" si="25"/>
        <v>1.415</v>
      </c>
      <c r="S96" s="17">
        <f t="shared" si="25"/>
        <v>79.925</v>
      </c>
      <c r="T96" s="17">
        <f t="shared" si="25"/>
        <v>67.58555555555557</v>
      </c>
      <c r="U96" s="49">
        <f>U95+U89+U86+U77+U74</f>
        <v>927.1193333333333</v>
      </c>
      <c r="V96" s="17">
        <f>V95+V89+V86+V77+V74</f>
        <v>793.5366666666667</v>
      </c>
      <c r="W96" s="17">
        <f>W95+W89+W86+W77+W74-4</f>
        <v>6.104000000000001</v>
      </c>
      <c r="X96" s="72">
        <f>X95+X89+X86+X77+X74-1</f>
        <v>7.333333333333332</v>
      </c>
      <c r="Y96" s="63"/>
      <c r="Z96" s="58"/>
      <c r="AA96" s="58"/>
      <c r="AB96" s="58"/>
      <c r="AC96" s="58"/>
      <c r="AD96" s="53"/>
      <c r="AE96" s="53"/>
    </row>
    <row r="97" spans="1:31" ht="15" customHeight="1">
      <c r="A97" s="22"/>
      <c r="B97" s="90" t="s">
        <v>166</v>
      </c>
      <c r="C97" s="43"/>
      <c r="D97" s="43"/>
      <c r="E97" s="28"/>
      <c r="F97" s="28"/>
      <c r="G97" s="28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41"/>
      <c r="U97" s="41"/>
      <c r="V97" s="41"/>
      <c r="W97" s="41"/>
      <c r="X97" s="75"/>
      <c r="Y97" s="54"/>
      <c r="Z97" s="53"/>
      <c r="AA97" s="53"/>
      <c r="AB97" s="53"/>
      <c r="AC97" s="53"/>
      <c r="AD97" s="116"/>
      <c r="AE97" s="116"/>
    </row>
    <row r="98" spans="1:31" ht="15" customHeight="1">
      <c r="A98" s="22"/>
      <c r="B98" s="91" t="s">
        <v>4</v>
      </c>
      <c r="C98" s="43"/>
      <c r="D98" s="43"/>
      <c r="E98" s="28"/>
      <c r="F98" s="28"/>
      <c r="G98" s="28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41"/>
      <c r="U98" s="41"/>
      <c r="V98" s="41"/>
      <c r="W98" s="41"/>
      <c r="X98" s="75"/>
      <c r="Y98" s="54"/>
      <c r="Z98" s="53"/>
      <c r="AA98" s="53"/>
      <c r="AB98" s="53"/>
      <c r="AC98" s="53"/>
      <c r="AD98" s="53"/>
      <c r="AE98" s="53"/>
    </row>
    <row r="99" spans="1:30" s="1" customFormat="1" ht="14.25" customHeight="1">
      <c r="A99" s="119" t="s">
        <v>60</v>
      </c>
      <c r="B99" s="23" t="s">
        <v>107</v>
      </c>
      <c r="C99" s="43" t="s">
        <v>75</v>
      </c>
      <c r="D99" s="43" t="s">
        <v>75</v>
      </c>
      <c r="E99" s="28">
        <v>4.58</v>
      </c>
      <c r="F99" s="28">
        <v>4.58</v>
      </c>
      <c r="G99" s="28">
        <v>2.9</v>
      </c>
      <c r="H99" s="29">
        <v>2.9</v>
      </c>
      <c r="I99" s="28">
        <v>1.95</v>
      </c>
      <c r="J99" s="29">
        <v>1.95</v>
      </c>
      <c r="K99" s="28">
        <v>10.4</v>
      </c>
      <c r="L99" s="29">
        <v>10.4</v>
      </c>
      <c r="M99" s="28">
        <v>70.75</v>
      </c>
      <c r="N99" s="29">
        <v>70.75</v>
      </c>
      <c r="O99" s="86">
        <v>0.08</v>
      </c>
      <c r="P99" s="86">
        <f>O99*40/60</f>
        <v>0.05333333333333334</v>
      </c>
      <c r="Q99" s="86">
        <v>0.06</v>
      </c>
      <c r="R99" s="86">
        <f>Q99*40/60</f>
        <v>0.04</v>
      </c>
      <c r="S99" s="28">
        <v>0.14</v>
      </c>
      <c r="T99" s="29">
        <v>0.14</v>
      </c>
      <c r="U99" s="29">
        <v>70.8</v>
      </c>
      <c r="V99" s="29">
        <f>U99*40/60</f>
        <v>47.2</v>
      </c>
      <c r="W99" s="29">
        <v>0.81</v>
      </c>
      <c r="X99" s="74">
        <f>W99*40/60</f>
        <v>0.5400000000000001</v>
      </c>
      <c r="Y99" s="59"/>
      <c r="Z99" s="57"/>
      <c r="AA99" s="57"/>
      <c r="AB99" s="57"/>
      <c r="AC99" s="57"/>
      <c r="AD99" s="57"/>
    </row>
    <row r="100" spans="1:28" ht="27" customHeight="1">
      <c r="A100" s="119" t="s">
        <v>150</v>
      </c>
      <c r="B100" s="23" t="s">
        <v>151</v>
      </c>
      <c r="C100" s="43" t="s">
        <v>80</v>
      </c>
      <c r="D100" s="43" t="s">
        <v>81</v>
      </c>
      <c r="E100" s="28">
        <v>11.48</v>
      </c>
      <c r="F100" s="28">
        <v>8.99</v>
      </c>
      <c r="G100" s="28">
        <v>8.3</v>
      </c>
      <c r="H100" s="28">
        <v>6.23</v>
      </c>
      <c r="I100" s="28">
        <v>8.95</v>
      </c>
      <c r="J100" s="28">
        <v>7.3</v>
      </c>
      <c r="K100" s="28">
        <v>27.04</v>
      </c>
      <c r="L100" s="28">
        <v>20.28</v>
      </c>
      <c r="M100" s="28">
        <v>200.65</v>
      </c>
      <c r="N100" s="28">
        <v>150.55</v>
      </c>
      <c r="O100" s="40">
        <v>0.19</v>
      </c>
      <c r="P100" s="44">
        <v>0.16</v>
      </c>
      <c r="Q100" s="40">
        <v>0.26</v>
      </c>
      <c r="R100" s="44">
        <v>0.2</v>
      </c>
      <c r="S100" s="40">
        <v>1.5</v>
      </c>
      <c r="T100" s="44">
        <v>1.13</v>
      </c>
      <c r="U100" s="40">
        <v>229.72</v>
      </c>
      <c r="V100" s="44">
        <f>U100*150/200</f>
        <v>172.29</v>
      </c>
      <c r="W100" s="40">
        <v>2.6</v>
      </c>
      <c r="X100" s="44">
        <f>W100*150/200</f>
        <v>1.95</v>
      </c>
      <c r="AB100" s="54"/>
    </row>
    <row r="101" spans="1:31" ht="15" customHeight="1">
      <c r="A101" s="119" t="s">
        <v>32</v>
      </c>
      <c r="B101" s="23" t="s">
        <v>33</v>
      </c>
      <c r="C101" s="43" t="s">
        <v>31</v>
      </c>
      <c r="D101" s="43" t="s">
        <v>6</v>
      </c>
      <c r="E101" s="28">
        <v>5.81</v>
      </c>
      <c r="F101" s="28">
        <v>4.84</v>
      </c>
      <c r="G101" s="40">
        <v>2.95</v>
      </c>
      <c r="H101" s="40">
        <v>2.46</v>
      </c>
      <c r="I101" s="40">
        <v>3.24</v>
      </c>
      <c r="J101" s="40">
        <v>2.7</v>
      </c>
      <c r="K101" s="40">
        <v>22.82</v>
      </c>
      <c r="L101" s="40">
        <v>19.02</v>
      </c>
      <c r="M101" s="40">
        <v>132.26</v>
      </c>
      <c r="N101" s="29">
        <v>110.22</v>
      </c>
      <c r="O101" s="40">
        <f>P101*180/150</f>
        <v>0.024</v>
      </c>
      <c r="P101" s="44">
        <v>0.02</v>
      </c>
      <c r="Q101" s="40">
        <f>R101*180/150</f>
        <v>0.12</v>
      </c>
      <c r="R101" s="44">
        <v>0.1</v>
      </c>
      <c r="S101" s="40">
        <v>1.43</v>
      </c>
      <c r="T101" s="44">
        <v>1.2</v>
      </c>
      <c r="U101" s="40">
        <f>V101*180/150</f>
        <v>109.58399999999999</v>
      </c>
      <c r="V101" s="44">
        <v>91.32</v>
      </c>
      <c r="W101" s="40">
        <f>X101*180/150</f>
        <v>0.36</v>
      </c>
      <c r="X101" s="44">
        <v>0.3</v>
      </c>
      <c r="Y101" s="53"/>
      <c r="Z101" s="53"/>
      <c r="AA101" s="53"/>
      <c r="AB101" s="53"/>
      <c r="AC101" s="53"/>
      <c r="AD101" s="53"/>
      <c r="AE101" s="53"/>
    </row>
    <row r="102" spans="1:32" ht="15" customHeight="1">
      <c r="A102" s="22"/>
      <c r="B102" s="23" t="s">
        <v>7</v>
      </c>
      <c r="C102" s="43"/>
      <c r="D102" s="43"/>
      <c r="E102" s="17">
        <f>SUM(E99:E101)</f>
        <v>21.87</v>
      </c>
      <c r="F102" s="17">
        <f aca="true" t="shared" si="26" ref="F102:T102">SUM(F99:F101)</f>
        <v>18.41</v>
      </c>
      <c r="G102" s="17">
        <f t="shared" si="26"/>
        <v>14.150000000000002</v>
      </c>
      <c r="H102" s="17">
        <f t="shared" si="26"/>
        <v>11.59</v>
      </c>
      <c r="I102" s="17">
        <f t="shared" si="26"/>
        <v>14.139999999999999</v>
      </c>
      <c r="J102" s="17">
        <f t="shared" si="26"/>
        <v>11.95</v>
      </c>
      <c r="K102" s="17">
        <f t="shared" si="26"/>
        <v>60.26</v>
      </c>
      <c r="L102" s="17">
        <f t="shared" si="26"/>
        <v>49.7</v>
      </c>
      <c r="M102" s="17">
        <f t="shared" si="26"/>
        <v>403.65999999999997</v>
      </c>
      <c r="N102" s="17">
        <f t="shared" si="26"/>
        <v>331.52</v>
      </c>
      <c r="O102" s="17">
        <f t="shared" si="26"/>
        <v>0.29400000000000004</v>
      </c>
      <c r="P102" s="17">
        <f t="shared" si="26"/>
        <v>0.23333333333333334</v>
      </c>
      <c r="Q102" s="17">
        <f t="shared" si="26"/>
        <v>0.44</v>
      </c>
      <c r="R102" s="17">
        <f t="shared" si="26"/>
        <v>0.34</v>
      </c>
      <c r="S102" s="17">
        <f t="shared" si="26"/>
        <v>3.0700000000000003</v>
      </c>
      <c r="T102" s="17">
        <f t="shared" si="26"/>
        <v>2.4699999999999998</v>
      </c>
      <c r="U102" s="17">
        <f aca="true" t="shared" si="27" ref="U102:AB102">SUM(U99:U101)</f>
        <v>410.104</v>
      </c>
      <c r="V102" s="17">
        <f t="shared" si="27"/>
        <v>310.81</v>
      </c>
      <c r="W102" s="17">
        <f t="shared" si="27"/>
        <v>3.77</v>
      </c>
      <c r="X102" s="17">
        <f t="shared" si="27"/>
        <v>2.79</v>
      </c>
      <c r="Y102" s="17">
        <f t="shared" si="27"/>
        <v>0</v>
      </c>
      <c r="Z102" s="17">
        <f t="shared" si="27"/>
        <v>0</v>
      </c>
      <c r="AA102" s="17">
        <f t="shared" si="27"/>
        <v>0</v>
      </c>
      <c r="AB102" s="17">
        <f t="shared" si="27"/>
        <v>0</v>
      </c>
      <c r="AC102" s="58"/>
      <c r="AD102" s="58"/>
      <c r="AE102" s="58"/>
      <c r="AF102" s="58"/>
    </row>
    <row r="103" spans="1:32" ht="15" customHeight="1">
      <c r="A103" s="22"/>
      <c r="B103" s="91" t="s">
        <v>16</v>
      </c>
      <c r="C103" s="43"/>
      <c r="D103" s="43"/>
      <c r="E103" s="28"/>
      <c r="F103" s="28"/>
      <c r="G103" s="28"/>
      <c r="H103" s="29"/>
      <c r="I103" s="29"/>
      <c r="J103" s="29"/>
      <c r="K103" s="29"/>
      <c r="L103" s="29"/>
      <c r="M103" s="29"/>
      <c r="N103" s="29"/>
      <c r="O103" s="41"/>
      <c r="P103" s="41"/>
      <c r="Q103" s="41"/>
      <c r="R103" s="41"/>
      <c r="S103" s="41"/>
      <c r="T103" s="41"/>
      <c r="U103" s="41"/>
      <c r="V103" s="41"/>
      <c r="W103" s="41"/>
      <c r="X103" s="75"/>
      <c r="Y103" s="54"/>
      <c r="Z103" s="53"/>
      <c r="AA103" s="53"/>
      <c r="AB103" s="53"/>
      <c r="AC103" s="53"/>
      <c r="AD103" s="53"/>
      <c r="AE103" s="53"/>
      <c r="AF103" s="53"/>
    </row>
    <row r="104" spans="1:31" s="1" customFormat="1" ht="15" customHeight="1">
      <c r="A104" s="120" t="s">
        <v>51</v>
      </c>
      <c r="B104" s="64" t="s">
        <v>58</v>
      </c>
      <c r="C104" s="65" t="s">
        <v>98</v>
      </c>
      <c r="D104" s="65" t="s">
        <v>98</v>
      </c>
      <c r="E104" s="61">
        <v>4.19</v>
      </c>
      <c r="F104" s="61">
        <v>4.19</v>
      </c>
      <c r="G104" s="66">
        <v>0</v>
      </c>
      <c r="H104" s="68">
        <v>0</v>
      </c>
      <c r="I104" s="66">
        <f>J104*180/150</f>
        <v>0</v>
      </c>
      <c r="J104" s="68">
        <v>0</v>
      </c>
      <c r="K104" s="66">
        <v>9.6</v>
      </c>
      <c r="L104" s="68">
        <v>9.6</v>
      </c>
      <c r="M104" s="66">
        <v>38.4</v>
      </c>
      <c r="N104" s="68">
        <v>38.4</v>
      </c>
      <c r="O104" s="66">
        <f>P104*180/150</f>
        <v>0</v>
      </c>
      <c r="P104" s="68">
        <v>0</v>
      </c>
      <c r="Q104" s="66">
        <f>R104*180/150</f>
        <v>0.024</v>
      </c>
      <c r="R104" s="68">
        <v>0.02</v>
      </c>
      <c r="S104" s="66">
        <v>3.2</v>
      </c>
      <c r="T104" s="68">
        <v>3.2</v>
      </c>
      <c r="U104" s="66">
        <f>V104*180/150</f>
        <v>9.996</v>
      </c>
      <c r="V104" s="68">
        <v>8.33</v>
      </c>
      <c r="W104" s="66">
        <f>X104*180/150</f>
        <v>0.252</v>
      </c>
      <c r="X104" s="105">
        <v>0.21</v>
      </c>
      <c r="Y104" s="57"/>
      <c r="Z104" s="57"/>
      <c r="AA104" s="57"/>
      <c r="AB104" s="57"/>
      <c r="AC104" s="57"/>
      <c r="AD104" s="57"/>
      <c r="AE104" s="57"/>
    </row>
    <row r="105" spans="1:31" ht="15" customHeight="1">
      <c r="A105" s="22"/>
      <c r="B105" s="23" t="s">
        <v>7</v>
      </c>
      <c r="C105" s="43"/>
      <c r="D105" s="43"/>
      <c r="E105" s="17">
        <f>SUM(E104)</f>
        <v>4.19</v>
      </c>
      <c r="F105" s="17">
        <f aca="true" t="shared" si="28" ref="F105:T105">SUM(F104)</f>
        <v>4.19</v>
      </c>
      <c r="G105" s="17">
        <f t="shared" si="28"/>
        <v>0</v>
      </c>
      <c r="H105" s="17">
        <f t="shared" si="28"/>
        <v>0</v>
      </c>
      <c r="I105" s="17">
        <f t="shared" si="28"/>
        <v>0</v>
      </c>
      <c r="J105" s="17">
        <f t="shared" si="28"/>
        <v>0</v>
      </c>
      <c r="K105" s="17">
        <f t="shared" si="28"/>
        <v>9.6</v>
      </c>
      <c r="L105" s="17">
        <f t="shared" si="28"/>
        <v>9.6</v>
      </c>
      <c r="M105" s="17">
        <f t="shared" si="28"/>
        <v>38.4</v>
      </c>
      <c r="N105" s="17">
        <f t="shared" si="28"/>
        <v>38.4</v>
      </c>
      <c r="O105" s="17">
        <f t="shared" si="28"/>
        <v>0</v>
      </c>
      <c r="P105" s="17">
        <f t="shared" si="28"/>
        <v>0</v>
      </c>
      <c r="Q105" s="17">
        <f t="shared" si="28"/>
        <v>0.024</v>
      </c>
      <c r="R105" s="17">
        <f t="shared" si="28"/>
        <v>0.02</v>
      </c>
      <c r="S105" s="17">
        <f t="shared" si="28"/>
        <v>3.2</v>
      </c>
      <c r="T105" s="17">
        <f t="shared" si="28"/>
        <v>3.2</v>
      </c>
      <c r="U105" s="17">
        <f>SUM(U104)</f>
        <v>9.996</v>
      </c>
      <c r="V105" s="17">
        <f>SUM(V104)</f>
        <v>8.33</v>
      </c>
      <c r="W105" s="17">
        <f>SUM(W104)</f>
        <v>0.252</v>
      </c>
      <c r="X105" s="17">
        <f>SUM(X104)</f>
        <v>0.21</v>
      </c>
      <c r="Y105" s="72">
        <f>SUM(Y104)</f>
        <v>0</v>
      </c>
      <c r="Z105" s="58"/>
      <c r="AA105" s="58"/>
      <c r="AB105" s="58"/>
      <c r="AC105" s="58"/>
      <c r="AD105" s="53"/>
      <c r="AE105" s="53"/>
    </row>
    <row r="106" spans="1:31" ht="15" customHeight="1">
      <c r="A106" s="22"/>
      <c r="B106" s="91" t="s">
        <v>9</v>
      </c>
      <c r="C106" s="43"/>
      <c r="D106" s="43"/>
      <c r="E106" s="28"/>
      <c r="F106" s="28"/>
      <c r="G106" s="28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74"/>
      <c r="Y106" s="54"/>
      <c r="Z106" s="53"/>
      <c r="AA106" s="53"/>
      <c r="AB106" s="53"/>
      <c r="AC106" s="53"/>
      <c r="AD106" s="53"/>
      <c r="AE106" s="53"/>
    </row>
    <row r="107" spans="1:24" ht="15.75" customHeight="1">
      <c r="A107" s="120" t="s">
        <v>188</v>
      </c>
      <c r="B107" s="23" t="s">
        <v>189</v>
      </c>
      <c r="C107" s="43" t="s">
        <v>30</v>
      </c>
      <c r="D107" s="43" t="s">
        <v>87</v>
      </c>
      <c r="E107" s="28">
        <v>2.11</v>
      </c>
      <c r="F107" s="28">
        <v>1.76</v>
      </c>
      <c r="G107" s="127">
        <v>0.48</v>
      </c>
      <c r="H107" s="85">
        <v>0.4</v>
      </c>
      <c r="I107" s="127">
        <v>3</v>
      </c>
      <c r="J107" s="85">
        <v>2.5</v>
      </c>
      <c r="K107" s="127">
        <v>4.2</v>
      </c>
      <c r="L107" s="85">
        <v>3.5</v>
      </c>
      <c r="M107" s="127">
        <v>48</v>
      </c>
      <c r="N107" s="85">
        <v>40</v>
      </c>
      <c r="O107" s="127">
        <v>0.01</v>
      </c>
      <c r="P107" s="85">
        <v>0</v>
      </c>
      <c r="Q107" s="127">
        <v>0.02</v>
      </c>
      <c r="R107" s="85">
        <v>0</v>
      </c>
      <c r="S107" s="127">
        <v>4.15</v>
      </c>
      <c r="T107" s="85">
        <v>3.46</v>
      </c>
      <c r="U107" s="127">
        <v>20.69</v>
      </c>
      <c r="V107" s="85">
        <v>0</v>
      </c>
      <c r="W107" s="127">
        <v>0.78</v>
      </c>
      <c r="X107" s="85">
        <v>0</v>
      </c>
    </row>
    <row r="108" spans="1:31" s="7" customFormat="1" ht="25.5">
      <c r="A108" s="134" t="s">
        <v>127</v>
      </c>
      <c r="B108" s="67" t="s">
        <v>128</v>
      </c>
      <c r="C108" s="65" t="s">
        <v>118</v>
      </c>
      <c r="D108" s="65" t="s">
        <v>119</v>
      </c>
      <c r="E108" s="78">
        <v>4.49</v>
      </c>
      <c r="F108" s="61">
        <v>3.59</v>
      </c>
      <c r="G108" s="66">
        <v>1.74</v>
      </c>
      <c r="H108" s="66">
        <v>1.34</v>
      </c>
      <c r="I108" s="66">
        <v>4.91</v>
      </c>
      <c r="J108" s="66">
        <v>3.87</v>
      </c>
      <c r="K108" s="66">
        <v>10.64</v>
      </c>
      <c r="L108" s="66">
        <v>8.02</v>
      </c>
      <c r="M108" s="66">
        <v>93.71</v>
      </c>
      <c r="N108" s="66">
        <v>72.27</v>
      </c>
      <c r="O108" s="62">
        <v>0.09</v>
      </c>
      <c r="P108" s="62">
        <v>0.07</v>
      </c>
      <c r="Q108" s="62">
        <v>0.1</v>
      </c>
      <c r="R108" s="62">
        <v>0.08</v>
      </c>
      <c r="S108" s="62">
        <v>8.21</v>
      </c>
      <c r="T108" s="66">
        <v>6.16</v>
      </c>
      <c r="U108" s="69">
        <v>42.44</v>
      </c>
      <c r="V108" s="69">
        <v>30.79</v>
      </c>
      <c r="W108" s="69">
        <v>1.67</v>
      </c>
      <c r="X108" s="69">
        <v>1.45</v>
      </c>
      <c r="Z108" s="76"/>
      <c r="AA108" s="76"/>
      <c r="AB108" s="76"/>
      <c r="AC108" s="76"/>
      <c r="AD108" s="76"/>
      <c r="AE108" s="76"/>
    </row>
    <row r="109" spans="1:31" s="7" customFormat="1" ht="15" customHeight="1">
      <c r="A109" s="119" t="s">
        <v>152</v>
      </c>
      <c r="B109" s="147" t="s">
        <v>153</v>
      </c>
      <c r="C109" s="148" t="s">
        <v>140</v>
      </c>
      <c r="D109" s="148" t="s">
        <v>140</v>
      </c>
      <c r="E109" s="149">
        <v>35.33</v>
      </c>
      <c r="F109" s="149">
        <v>35.33</v>
      </c>
      <c r="G109" s="40">
        <v>13.9</v>
      </c>
      <c r="H109" s="40">
        <v>13.9</v>
      </c>
      <c r="I109" s="40">
        <v>6.5</v>
      </c>
      <c r="J109" s="40">
        <v>6.5</v>
      </c>
      <c r="K109" s="40">
        <v>4</v>
      </c>
      <c r="L109" s="40">
        <v>4</v>
      </c>
      <c r="M109" s="40">
        <v>132</v>
      </c>
      <c r="N109" s="138">
        <v>132</v>
      </c>
      <c r="O109" s="29">
        <v>0.06</v>
      </c>
      <c r="P109" s="29">
        <v>0</v>
      </c>
      <c r="Q109" s="29">
        <v>0.12</v>
      </c>
      <c r="R109" s="29">
        <v>0</v>
      </c>
      <c r="S109" s="29">
        <v>0.06</v>
      </c>
      <c r="T109" s="29">
        <v>0.06</v>
      </c>
      <c r="U109" s="29">
        <v>14.33</v>
      </c>
      <c r="V109" s="29">
        <v>0</v>
      </c>
      <c r="W109" s="74">
        <v>2.25</v>
      </c>
      <c r="X109" s="29">
        <v>0</v>
      </c>
      <c r="Y109" s="77"/>
      <c r="Z109" s="83"/>
      <c r="AA109" s="83"/>
      <c r="AB109" s="83"/>
      <c r="AC109" s="83"/>
      <c r="AD109" s="76"/>
      <c r="AE109" s="76"/>
    </row>
    <row r="110" spans="1:28" ht="12.75" customHeight="1">
      <c r="A110" s="119" t="s">
        <v>28</v>
      </c>
      <c r="B110" s="25" t="s">
        <v>141</v>
      </c>
      <c r="C110" s="43" t="s">
        <v>6</v>
      </c>
      <c r="D110" s="43" t="s">
        <v>83</v>
      </c>
      <c r="E110" s="28">
        <v>3.45</v>
      </c>
      <c r="F110" s="28">
        <v>2.99</v>
      </c>
      <c r="G110" s="28">
        <v>3.03</v>
      </c>
      <c r="H110" s="29">
        <f>G110*100/150</f>
        <v>2.02</v>
      </c>
      <c r="I110" s="28">
        <v>4.68</v>
      </c>
      <c r="J110" s="29">
        <f>I110*100/150</f>
        <v>3.12</v>
      </c>
      <c r="K110" s="28">
        <v>23.82</v>
      </c>
      <c r="L110" s="29">
        <f>K110*100/150</f>
        <v>15.88</v>
      </c>
      <c r="M110" s="28">
        <v>149</v>
      </c>
      <c r="N110" s="29">
        <f>M110*100/150</f>
        <v>99.33333333333333</v>
      </c>
      <c r="O110" s="40">
        <v>0.04</v>
      </c>
      <c r="P110" s="29">
        <f>O110/1.5</f>
        <v>0.02666666666666667</v>
      </c>
      <c r="Q110" s="40">
        <v>0.02</v>
      </c>
      <c r="R110" s="29">
        <f>Q110/1.5</f>
        <v>0.013333333333333334</v>
      </c>
      <c r="S110" s="40">
        <v>0</v>
      </c>
      <c r="T110" s="29">
        <f>S110/1.5</f>
        <v>0</v>
      </c>
      <c r="U110" s="40">
        <v>13.81</v>
      </c>
      <c r="V110" s="29">
        <f>U110/1.5</f>
        <v>9.206666666666667</v>
      </c>
      <c r="W110" s="40">
        <v>1.11</v>
      </c>
      <c r="X110" s="29">
        <f>W110/1.5</f>
        <v>0.7400000000000001</v>
      </c>
      <c r="AB110" s="54"/>
    </row>
    <row r="111" spans="1:31" ht="15" customHeight="1">
      <c r="A111" s="121" t="s">
        <v>121</v>
      </c>
      <c r="B111" s="110" t="s">
        <v>122</v>
      </c>
      <c r="C111" s="106">
        <v>200</v>
      </c>
      <c r="D111" s="106">
        <v>150</v>
      </c>
      <c r="E111" s="61">
        <v>3.08</v>
      </c>
      <c r="F111" s="61">
        <v>2.31</v>
      </c>
      <c r="G111" s="61">
        <v>0.6</v>
      </c>
      <c r="H111" s="62">
        <f>G111*150/200</f>
        <v>0.45</v>
      </c>
      <c r="I111" s="61">
        <v>0</v>
      </c>
      <c r="J111" s="62">
        <f>I111*150/200</f>
        <v>0</v>
      </c>
      <c r="K111" s="61">
        <v>31.4</v>
      </c>
      <c r="L111" s="62">
        <f>K111*150/200</f>
        <v>23.55</v>
      </c>
      <c r="M111" s="61">
        <v>124</v>
      </c>
      <c r="N111" s="62">
        <f>M111*150/200</f>
        <v>93</v>
      </c>
      <c r="O111" s="62">
        <v>0.02</v>
      </c>
      <c r="P111" s="62">
        <f>O111*150/200</f>
        <v>0.015</v>
      </c>
      <c r="Q111" s="62">
        <v>0.03</v>
      </c>
      <c r="R111" s="62">
        <f>Q111*150/200</f>
        <v>0.0225</v>
      </c>
      <c r="S111" s="62">
        <v>0.45</v>
      </c>
      <c r="T111" s="62">
        <f>S111*150/200</f>
        <v>0.3375</v>
      </c>
      <c r="U111" s="62">
        <v>12.3</v>
      </c>
      <c r="V111" s="62">
        <f>U111*150/200</f>
        <v>9.225</v>
      </c>
      <c r="W111" s="70">
        <v>2</v>
      </c>
      <c r="X111" s="82">
        <f>W111*150/200</f>
        <v>1.5</v>
      </c>
      <c r="Y111" s="53"/>
      <c r="Z111" s="53"/>
      <c r="AA111" s="53"/>
      <c r="AB111" s="53"/>
      <c r="AC111" s="53"/>
      <c r="AD111" s="53"/>
      <c r="AE111" s="53"/>
    </row>
    <row r="112" spans="1:31" s="16" customFormat="1" ht="15" customHeight="1">
      <c r="A112" s="119"/>
      <c r="B112" s="23" t="s">
        <v>11</v>
      </c>
      <c r="C112" s="43" t="s">
        <v>14</v>
      </c>
      <c r="D112" s="43" t="s">
        <v>14</v>
      </c>
      <c r="E112" s="28">
        <v>1.22</v>
      </c>
      <c r="F112" s="28">
        <v>1.22</v>
      </c>
      <c r="G112" s="28">
        <v>1.6</v>
      </c>
      <c r="H112" s="28">
        <v>1.6</v>
      </c>
      <c r="I112" s="28">
        <v>0.4</v>
      </c>
      <c r="J112" s="28">
        <v>0.4</v>
      </c>
      <c r="K112" s="28">
        <v>10</v>
      </c>
      <c r="L112" s="28">
        <v>10</v>
      </c>
      <c r="M112" s="29">
        <v>54</v>
      </c>
      <c r="N112" s="29">
        <v>54</v>
      </c>
      <c r="O112" s="42">
        <v>0.04</v>
      </c>
      <c r="P112" s="47">
        <v>0.04</v>
      </c>
      <c r="Q112" s="42">
        <v>0.02</v>
      </c>
      <c r="R112" s="47">
        <v>0.02</v>
      </c>
      <c r="S112" s="42">
        <v>0</v>
      </c>
      <c r="T112" s="47">
        <v>0</v>
      </c>
      <c r="U112" s="42">
        <v>7.4</v>
      </c>
      <c r="V112" s="47">
        <v>7.4</v>
      </c>
      <c r="W112" s="42">
        <v>0.56</v>
      </c>
      <c r="X112" s="47">
        <v>0.56</v>
      </c>
      <c r="Y112" s="56"/>
      <c r="Z112" s="56"/>
      <c r="AA112" s="56"/>
      <c r="AB112" s="56"/>
      <c r="AC112" s="56"/>
      <c r="AD112" s="56"/>
      <c r="AE112" s="56"/>
    </row>
    <row r="113" spans="1:31" ht="15" customHeight="1">
      <c r="A113" s="119"/>
      <c r="B113" s="23" t="s">
        <v>47</v>
      </c>
      <c r="C113" s="43" t="s">
        <v>70</v>
      </c>
      <c r="D113" s="43" t="s">
        <v>71</v>
      </c>
      <c r="E113" s="28">
        <v>2.3</v>
      </c>
      <c r="F113" s="28">
        <v>2.01</v>
      </c>
      <c r="G113" s="28">
        <v>3.25</v>
      </c>
      <c r="H113" s="29">
        <v>2.84</v>
      </c>
      <c r="I113" s="29">
        <v>0.46</v>
      </c>
      <c r="J113" s="29">
        <f>I113*40.6/46</f>
        <v>0.406</v>
      </c>
      <c r="K113" s="29">
        <v>20.88</v>
      </c>
      <c r="L113" s="29">
        <v>18.27</v>
      </c>
      <c r="M113" s="29">
        <v>102.08</v>
      </c>
      <c r="N113" s="29">
        <v>89.32</v>
      </c>
      <c r="O113" s="40">
        <v>0.06</v>
      </c>
      <c r="P113" s="44">
        <v>0.04</v>
      </c>
      <c r="Q113" s="40">
        <v>0.04</v>
      </c>
      <c r="R113" s="44">
        <v>0.03</v>
      </c>
      <c r="S113" s="40">
        <v>0</v>
      </c>
      <c r="T113" s="29">
        <f>S113*40.6/46</f>
        <v>0</v>
      </c>
      <c r="U113" s="42">
        <v>17</v>
      </c>
      <c r="V113" s="47">
        <v>13.6</v>
      </c>
      <c r="W113" s="42">
        <v>1.15</v>
      </c>
      <c r="X113" s="47">
        <v>0.92</v>
      </c>
      <c r="Y113" s="53"/>
      <c r="Z113" s="53"/>
      <c r="AA113" s="53"/>
      <c r="AB113" s="53"/>
      <c r="AC113" s="53"/>
      <c r="AD113" s="53"/>
      <c r="AE113" s="53"/>
    </row>
    <row r="114" spans="1:31" ht="15" customHeight="1">
      <c r="A114" s="22"/>
      <c r="B114" s="23" t="s">
        <v>7</v>
      </c>
      <c r="C114" s="43"/>
      <c r="D114" s="43"/>
      <c r="E114" s="17">
        <f>SUM(E107:E113)</f>
        <v>51.98</v>
      </c>
      <c r="F114" s="17">
        <f aca="true" t="shared" si="29" ref="F114:T114">SUM(F107:F113)</f>
        <v>49.21</v>
      </c>
      <c r="G114" s="17">
        <f t="shared" si="29"/>
        <v>24.600000000000005</v>
      </c>
      <c r="H114" s="17">
        <f t="shared" si="29"/>
        <v>22.55</v>
      </c>
      <c r="I114" s="17">
        <f t="shared" si="29"/>
        <v>19.95</v>
      </c>
      <c r="J114" s="17">
        <f t="shared" si="29"/>
        <v>16.796</v>
      </c>
      <c r="K114" s="17">
        <f t="shared" si="29"/>
        <v>104.94</v>
      </c>
      <c r="L114" s="17">
        <f t="shared" si="29"/>
        <v>83.22</v>
      </c>
      <c r="M114" s="17">
        <f t="shared" si="29"/>
        <v>702.7900000000001</v>
      </c>
      <c r="N114" s="17">
        <f t="shared" si="29"/>
        <v>579.9233333333333</v>
      </c>
      <c r="O114" s="17">
        <f t="shared" si="29"/>
        <v>0.31999999999999995</v>
      </c>
      <c r="P114" s="17">
        <f t="shared" si="29"/>
        <v>0.19166666666666668</v>
      </c>
      <c r="Q114" s="17">
        <f t="shared" si="29"/>
        <v>0.35000000000000003</v>
      </c>
      <c r="R114" s="17">
        <f t="shared" si="29"/>
        <v>0.16583333333333333</v>
      </c>
      <c r="S114" s="17">
        <f t="shared" si="29"/>
        <v>12.870000000000001</v>
      </c>
      <c r="T114" s="17">
        <f t="shared" si="29"/>
        <v>10.017500000000002</v>
      </c>
      <c r="U114" s="17">
        <f aca="true" t="shared" si="30" ref="U114:AB114">SUM(U108:U113)-20</f>
        <v>87.28</v>
      </c>
      <c r="V114" s="17">
        <f t="shared" si="30"/>
        <v>50.221666666666664</v>
      </c>
      <c r="W114" s="17">
        <f t="shared" si="30"/>
        <v>-11.26</v>
      </c>
      <c r="X114" s="17">
        <f t="shared" si="30"/>
        <v>-14.83</v>
      </c>
      <c r="Y114" s="17">
        <f t="shared" si="30"/>
        <v>-20</v>
      </c>
      <c r="Z114" s="17">
        <f t="shared" si="30"/>
        <v>-20</v>
      </c>
      <c r="AA114" s="17">
        <f t="shared" si="30"/>
        <v>-20</v>
      </c>
      <c r="AB114" s="17">
        <f t="shared" si="30"/>
        <v>-20</v>
      </c>
      <c r="AC114" s="58"/>
      <c r="AD114" s="53"/>
      <c r="AE114" s="53"/>
    </row>
    <row r="115" spans="1:31" ht="15" customHeight="1">
      <c r="A115" s="22"/>
      <c r="B115" s="91" t="s">
        <v>12</v>
      </c>
      <c r="C115" s="43"/>
      <c r="D115" s="43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41"/>
      <c r="P115" s="41"/>
      <c r="Q115" s="41"/>
      <c r="R115" s="41"/>
      <c r="S115" s="41"/>
      <c r="T115" s="41"/>
      <c r="U115" s="41"/>
      <c r="V115" s="41"/>
      <c r="W115" s="41"/>
      <c r="X115" s="75"/>
      <c r="Y115" s="54"/>
      <c r="Z115" s="53"/>
      <c r="AA115" s="53"/>
      <c r="AB115" s="53"/>
      <c r="AC115" s="53"/>
      <c r="AD115" s="53"/>
      <c r="AE115" s="53"/>
    </row>
    <row r="116" spans="1:31" ht="15" customHeight="1">
      <c r="A116" s="119" t="s">
        <v>23</v>
      </c>
      <c r="B116" s="23" t="s">
        <v>20</v>
      </c>
      <c r="C116" s="43" t="s">
        <v>31</v>
      </c>
      <c r="D116" s="43" t="s">
        <v>31</v>
      </c>
      <c r="E116" s="28">
        <v>10.36</v>
      </c>
      <c r="F116" s="28">
        <v>10.36</v>
      </c>
      <c r="G116" s="28">
        <v>5.31</v>
      </c>
      <c r="H116" s="29">
        <v>5.31</v>
      </c>
      <c r="I116" s="28">
        <v>4.5</v>
      </c>
      <c r="J116" s="29">
        <v>4.5</v>
      </c>
      <c r="K116" s="28">
        <v>8.91</v>
      </c>
      <c r="L116" s="29">
        <v>8.91</v>
      </c>
      <c r="M116" s="28">
        <v>97.38</v>
      </c>
      <c r="N116" s="29">
        <v>97.38</v>
      </c>
      <c r="O116" s="28">
        <v>0.07</v>
      </c>
      <c r="P116" s="29">
        <v>0.07</v>
      </c>
      <c r="Q116" s="28">
        <v>0.3</v>
      </c>
      <c r="R116" s="29">
        <v>0.3</v>
      </c>
      <c r="S116" s="28">
        <v>2.46</v>
      </c>
      <c r="T116" s="29">
        <v>2.46</v>
      </c>
      <c r="U116" s="28">
        <v>275.74</v>
      </c>
      <c r="V116" s="29">
        <v>275.74</v>
      </c>
      <c r="W116" s="28">
        <v>0.23</v>
      </c>
      <c r="X116" s="29">
        <v>0.23</v>
      </c>
      <c r="Y116" s="57"/>
      <c r="Z116" s="57"/>
      <c r="AA116" s="57"/>
      <c r="AB116" s="57"/>
      <c r="AC116" s="57"/>
      <c r="AD116" s="57"/>
      <c r="AE116" s="53"/>
    </row>
    <row r="117" spans="1:31" s="8" customFormat="1" ht="15" customHeight="1">
      <c r="A117" s="60"/>
      <c r="B117" s="64" t="s">
        <v>7</v>
      </c>
      <c r="C117" s="65"/>
      <c r="D117" s="65"/>
      <c r="E117" s="81">
        <f>SUM(E116)</f>
        <v>10.36</v>
      </c>
      <c r="F117" s="81">
        <f aca="true" t="shared" si="31" ref="F117:AB117">SUM(F116)</f>
        <v>10.36</v>
      </c>
      <c r="G117" s="81">
        <f t="shared" si="31"/>
        <v>5.31</v>
      </c>
      <c r="H117" s="81">
        <f t="shared" si="31"/>
        <v>5.31</v>
      </c>
      <c r="I117" s="81">
        <f t="shared" si="31"/>
        <v>4.5</v>
      </c>
      <c r="J117" s="81">
        <f t="shared" si="31"/>
        <v>4.5</v>
      </c>
      <c r="K117" s="81">
        <f t="shared" si="31"/>
        <v>8.91</v>
      </c>
      <c r="L117" s="81">
        <f t="shared" si="31"/>
        <v>8.91</v>
      </c>
      <c r="M117" s="81">
        <f t="shared" si="31"/>
        <v>97.38</v>
      </c>
      <c r="N117" s="81">
        <f t="shared" si="31"/>
        <v>97.38</v>
      </c>
      <c r="O117" s="81">
        <f t="shared" si="31"/>
        <v>0.07</v>
      </c>
      <c r="P117" s="81">
        <f t="shared" si="31"/>
        <v>0.07</v>
      </c>
      <c r="Q117" s="81">
        <f t="shared" si="31"/>
        <v>0.3</v>
      </c>
      <c r="R117" s="81">
        <f t="shared" si="31"/>
        <v>0.3</v>
      </c>
      <c r="S117" s="81">
        <f t="shared" si="31"/>
        <v>2.46</v>
      </c>
      <c r="T117" s="81">
        <f t="shared" si="31"/>
        <v>2.46</v>
      </c>
      <c r="U117" s="81">
        <f t="shared" si="31"/>
        <v>275.74</v>
      </c>
      <c r="V117" s="81">
        <f t="shared" si="31"/>
        <v>275.74</v>
      </c>
      <c r="W117" s="81">
        <f t="shared" si="31"/>
        <v>0.23</v>
      </c>
      <c r="X117" s="81">
        <f t="shared" si="31"/>
        <v>0.23</v>
      </c>
      <c r="Y117" s="81">
        <f t="shared" si="31"/>
        <v>0</v>
      </c>
      <c r="Z117" s="81">
        <f t="shared" si="31"/>
        <v>0</v>
      </c>
      <c r="AA117" s="81">
        <f t="shared" si="31"/>
        <v>0</v>
      </c>
      <c r="AB117" s="81">
        <f t="shared" si="31"/>
        <v>0</v>
      </c>
      <c r="AC117" s="58"/>
      <c r="AD117" s="107"/>
      <c r="AE117" s="107"/>
    </row>
    <row r="118" spans="1:31" ht="15" customHeight="1">
      <c r="A118" s="22"/>
      <c r="B118" s="91" t="s">
        <v>13</v>
      </c>
      <c r="C118" s="43"/>
      <c r="D118" s="43"/>
      <c r="E118" s="28"/>
      <c r="F118" s="28"/>
      <c r="G118" s="28"/>
      <c r="H118" s="29"/>
      <c r="I118" s="29"/>
      <c r="J118" s="29"/>
      <c r="K118" s="29"/>
      <c r="L118" s="29"/>
      <c r="M118" s="29"/>
      <c r="N118" s="29"/>
      <c r="O118" s="41"/>
      <c r="P118" s="41"/>
      <c r="Q118" s="41"/>
      <c r="R118" s="41"/>
      <c r="S118" s="41"/>
      <c r="T118" s="41"/>
      <c r="U118" s="41"/>
      <c r="V118" s="41"/>
      <c r="W118" s="41"/>
      <c r="X118" s="75"/>
      <c r="Y118" s="54"/>
      <c r="Z118" s="53"/>
      <c r="AA118" s="53"/>
      <c r="AB118" s="53"/>
      <c r="AC118" s="53"/>
      <c r="AD118" s="53"/>
      <c r="AE118" s="53"/>
    </row>
    <row r="119" spans="1:29" ht="15.75" customHeight="1">
      <c r="A119" s="120"/>
      <c r="B119" s="64" t="s">
        <v>149</v>
      </c>
      <c r="C119" s="65" t="s">
        <v>6</v>
      </c>
      <c r="D119" s="65" t="s">
        <v>6</v>
      </c>
      <c r="E119" s="61">
        <v>16.32</v>
      </c>
      <c r="F119" s="61">
        <v>16.32</v>
      </c>
      <c r="G119" s="62">
        <v>2.25</v>
      </c>
      <c r="H119" s="62">
        <v>2.25</v>
      </c>
      <c r="I119" s="61">
        <v>0</v>
      </c>
      <c r="J119" s="62">
        <v>0</v>
      </c>
      <c r="K119" s="62">
        <v>33.6</v>
      </c>
      <c r="L119" s="62">
        <v>33.6</v>
      </c>
      <c r="M119" s="62">
        <v>143.4</v>
      </c>
      <c r="N119" s="62">
        <v>143.4</v>
      </c>
      <c r="O119" s="61">
        <v>0.02</v>
      </c>
      <c r="P119" s="62">
        <v>0.02</v>
      </c>
      <c r="Q119" s="61">
        <f>R119*160/150</f>
        <v>0.05333333333333334</v>
      </c>
      <c r="R119" s="62">
        <v>0.05</v>
      </c>
      <c r="S119" s="62">
        <v>15</v>
      </c>
      <c r="T119" s="62">
        <v>15</v>
      </c>
      <c r="U119" s="28">
        <v>20.69</v>
      </c>
      <c r="V119" s="29">
        <v>0</v>
      </c>
      <c r="W119" s="28">
        <v>0.78</v>
      </c>
      <c r="X119" s="29">
        <v>0</v>
      </c>
      <c r="Y119" s="1"/>
      <c r="Z119" s="57"/>
      <c r="AA119" s="57"/>
      <c r="AB119" s="57"/>
      <c r="AC119" s="57"/>
    </row>
    <row r="120" spans="1:29" s="7" customFormat="1" ht="18" customHeight="1">
      <c r="A120" s="123" t="s">
        <v>136</v>
      </c>
      <c r="B120" s="23" t="s">
        <v>137</v>
      </c>
      <c r="C120" s="43" t="s">
        <v>10</v>
      </c>
      <c r="D120" s="43" t="s">
        <v>10</v>
      </c>
      <c r="E120" s="28">
        <v>25.66</v>
      </c>
      <c r="F120" s="28">
        <v>25.66</v>
      </c>
      <c r="G120" s="28">
        <v>10.64</v>
      </c>
      <c r="H120" s="29">
        <v>10.64</v>
      </c>
      <c r="I120" s="29">
        <v>8.87</v>
      </c>
      <c r="J120" s="29">
        <v>8.87</v>
      </c>
      <c r="K120" s="29">
        <v>6.25</v>
      </c>
      <c r="L120" s="29">
        <v>6.25</v>
      </c>
      <c r="M120" s="29">
        <v>147.39</v>
      </c>
      <c r="N120" s="29">
        <v>147.39</v>
      </c>
      <c r="O120" s="29">
        <v>0.09</v>
      </c>
      <c r="P120" s="29">
        <v>0.09</v>
      </c>
      <c r="Q120" s="29">
        <v>0.1</v>
      </c>
      <c r="R120" s="29">
        <v>0.1</v>
      </c>
      <c r="S120" s="29">
        <v>2.45</v>
      </c>
      <c r="T120" s="29">
        <v>2.45</v>
      </c>
      <c r="U120" s="29">
        <v>23.97</v>
      </c>
      <c r="V120" s="29">
        <v>23.97</v>
      </c>
      <c r="W120" s="29">
        <v>0.61</v>
      </c>
      <c r="X120" s="29">
        <v>0.61</v>
      </c>
      <c r="Y120" s="77"/>
      <c r="Z120" s="83"/>
      <c r="AA120" s="83"/>
      <c r="AB120" s="112"/>
      <c r="AC120" s="77"/>
    </row>
    <row r="121" spans="1:29" ht="15" customHeight="1">
      <c r="A121" s="119" t="s">
        <v>174</v>
      </c>
      <c r="B121" s="23" t="s">
        <v>175</v>
      </c>
      <c r="C121" s="43" t="s">
        <v>6</v>
      </c>
      <c r="D121" s="43" t="s">
        <v>69</v>
      </c>
      <c r="E121" s="28">
        <v>8.97</v>
      </c>
      <c r="F121" s="28">
        <v>7.77</v>
      </c>
      <c r="G121" s="28">
        <f>H121*150/130</f>
        <v>3.15</v>
      </c>
      <c r="H121" s="29">
        <v>2.73</v>
      </c>
      <c r="I121" s="28">
        <f>J121*150/130</f>
        <v>9.6</v>
      </c>
      <c r="J121" s="29">
        <v>8.32</v>
      </c>
      <c r="K121" s="28">
        <f>L121*150/130</f>
        <v>27.715384615384615</v>
      </c>
      <c r="L121" s="29">
        <v>24.02</v>
      </c>
      <c r="M121" s="28">
        <f>N121*150/130</f>
        <v>209.8153846153846</v>
      </c>
      <c r="N121" s="29">
        <v>181.84</v>
      </c>
      <c r="O121" s="28">
        <v>0.15</v>
      </c>
      <c r="P121" s="41">
        <v>0.1</v>
      </c>
      <c r="Q121" s="28">
        <f>R121*150/100</f>
        <v>0.075</v>
      </c>
      <c r="R121" s="41">
        <v>0.05</v>
      </c>
      <c r="S121" s="28">
        <f>T121*150/130</f>
        <v>10.915384615384617</v>
      </c>
      <c r="T121" s="29">
        <v>9.46</v>
      </c>
      <c r="U121" s="28">
        <f>V121*150/100</f>
        <v>41.655</v>
      </c>
      <c r="V121" s="41">
        <v>27.77</v>
      </c>
      <c r="W121" s="28">
        <f>X121*150/100</f>
        <v>1.8</v>
      </c>
      <c r="X121" s="41">
        <v>1.2</v>
      </c>
      <c r="Z121" s="53"/>
      <c r="AA121" s="53"/>
      <c r="AB121" s="53"/>
      <c r="AC121" s="53"/>
    </row>
    <row r="122" spans="1:31" ht="15" customHeight="1">
      <c r="A122" s="120" t="s">
        <v>76</v>
      </c>
      <c r="B122" s="67" t="s">
        <v>77</v>
      </c>
      <c r="C122" s="65" t="s">
        <v>5</v>
      </c>
      <c r="D122" s="65" t="s">
        <v>6</v>
      </c>
      <c r="E122" s="61">
        <v>0.5</v>
      </c>
      <c r="F122" s="61">
        <v>0.38</v>
      </c>
      <c r="G122" s="61">
        <v>0.18</v>
      </c>
      <c r="H122" s="62">
        <v>0.13</v>
      </c>
      <c r="I122" s="61">
        <f>J122*200/150</f>
        <v>0</v>
      </c>
      <c r="J122" s="62">
        <v>0</v>
      </c>
      <c r="K122" s="61">
        <v>4.78</v>
      </c>
      <c r="L122" s="62">
        <v>3.58</v>
      </c>
      <c r="M122" s="61">
        <v>19.9</v>
      </c>
      <c r="N122" s="62">
        <v>14.92</v>
      </c>
      <c r="O122" s="61">
        <f>P122*200/150</f>
        <v>0.013333333333333334</v>
      </c>
      <c r="P122" s="69">
        <v>0.01</v>
      </c>
      <c r="Q122" s="61">
        <f>R122*200/150</f>
        <v>0.013333333333333334</v>
      </c>
      <c r="R122" s="69">
        <v>0.01</v>
      </c>
      <c r="S122" s="61">
        <v>0.04</v>
      </c>
      <c r="T122" s="69">
        <v>0.03</v>
      </c>
      <c r="U122" s="61">
        <f>V122*200/150</f>
        <v>5.053333333333334</v>
      </c>
      <c r="V122" s="69">
        <v>3.79</v>
      </c>
      <c r="W122" s="61">
        <f>X122*200/150</f>
        <v>0.84</v>
      </c>
      <c r="X122" s="113">
        <v>0.63</v>
      </c>
      <c r="Y122" s="53"/>
      <c r="Z122" s="53"/>
      <c r="AA122" s="53"/>
      <c r="AB122" s="53"/>
      <c r="AC122" s="53"/>
      <c r="AD122" s="53"/>
      <c r="AE122" s="53"/>
    </row>
    <row r="123" spans="1:31" s="16" customFormat="1" ht="15" customHeight="1">
      <c r="A123" s="119"/>
      <c r="B123" s="23" t="s">
        <v>11</v>
      </c>
      <c r="C123" s="43" t="s">
        <v>14</v>
      </c>
      <c r="D123" s="43" t="s">
        <v>14</v>
      </c>
      <c r="E123" s="28">
        <v>1.22</v>
      </c>
      <c r="F123" s="28">
        <v>1.22</v>
      </c>
      <c r="G123" s="28">
        <v>1.6</v>
      </c>
      <c r="H123" s="28">
        <v>1.6</v>
      </c>
      <c r="I123" s="28">
        <v>0.4</v>
      </c>
      <c r="J123" s="28">
        <v>0.4</v>
      </c>
      <c r="K123" s="28">
        <v>10</v>
      </c>
      <c r="L123" s="28">
        <v>10</v>
      </c>
      <c r="M123" s="29">
        <v>54</v>
      </c>
      <c r="N123" s="29">
        <v>54</v>
      </c>
      <c r="O123" s="42">
        <v>0.04</v>
      </c>
      <c r="P123" s="47">
        <v>0.04</v>
      </c>
      <c r="Q123" s="42">
        <v>0.02</v>
      </c>
      <c r="R123" s="47">
        <v>0.02</v>
      </c>
      <c r="S123" s="42">
        <v>0</v>
      </c>
      <c r="T123" s="47">
        <v>0</v>
      </c>
      <c r="U123" s="42">
        <v>7.4</v>
      </c>
      <c r="V123" s="47">
        <v>7.4</v>
      </c>
      <c r="W123" s="42">
        <v>0.56</v>
      </c>
      <c r="X123" s="47">
        <v>0.56</v>
      </c>
      <c r="Y123" s="56"/>
      <c r="Z123" s="56"/>
      <c r="AA123" s="56"/>
      <c r="AB123" s="56"/>
      <c r="AC123" s="56"/>
      <c r="AD123" s="56"/>
      <c r="AE123" s="56"/>
    </row>
    <row r="124" spans="1:31" ht="15" customHeight="1">
      <c r="A124" s="22"/>
      <c r="B124" s="23" t="s">
        <v>7</v>
      </c>
      <c r="C124" s="43"/>
      <c r="D124" s="43"/>
      <c r="E124" s="17">
        <f>SUM(E119:E123)</f>
        <v>52.67</v>
      </c>
      <c r="F124" s="17">
        <f aca="true" t="shared" si="32" ref="F124:T124">SUM(F119:F123)</f>
        <v>51.35</v>
      </c>
      <c r="G124" s="17">
        <f t="shared" si="32"/>
        <v>17.82</v>
      </c>
      <c r="H124" s="17">
        <f t="shared" si="32"/>
        <v>17.35</v>
      </c>
      <c r="I124" s="17">
        <f t="shared" si="32"/>
        <v>18.869999999999997</v>
      </c>
      <c r="J124" s="17">
        <f t="shared" si="32"/>
        <v>17.589999999999996</v>
      </c>
      <c r="K124" s="17">
        <f t="shared" si="32"/>
        <v>82.34538461538462</v>
      </c>
      <c r="L124" s="17">
        <f t="shared" si="32"/>
        <v>77.45</v>
      </c>
      <c r="M124" s="17">
        <f t="shared" si="32"/>
        <v>574.5053846153845</v>
      </c>
      <c r="N124" s="17">
        <f t="shared" si="32"/>
        <v>541.55</v>
      </c>
      <c r="O124" s="17">
        <f t="shared" si="32"/>
        <v>0.3133333333333333</v>
      </c>
      <c r="P124" s="17">
        <f t="shared" si="32"/>
        <v>0.26</v>
      </c>
      <c r="Q124" s="17">
        <f t="shared" si="32"/>
        <v>0.26166666666666666</v>
      </c>
      <c r="R124" s="17">
        <f t="shared" si="32"/>
        <v>0.23</v>
      </c>
      <c r="S124" s="17">
        <f t="shared" si="32"/>
        <v>28.405384615384616</v>
      </c>
      <c r="T124" s="17">
        <f t="shared" si="32"/>
        <v>26.94</v>
      </c>
      <c r="U124" s="17">
        <f aca="true" t="shared" si="33" ref="U124:AB124">SUM(U122:U123)</f>
        <v>12.453333333333333</v>
      </c>
      <c r="V124" s="17">
        <f t="shared" si="33"/>
        <v>11.190000000000001</v>
      </c>
      <c r="W124" s="17">
        <f t="shared" si="33"/>
        <v>1.4</v>
      </c>
      <c r="X124" s="17">
        <f t="shared" si="33"/>
        <v>1.19</v>
      </c>
      <c r="Y124" s="17">
        <f t="shared" si="33"/>
        <v>0</v>
      </c>
      <c r="Z124" s="17">
        <f t="shared" si="33"/>
        <v>0</v>
      </c>
      <c r="AA124" s="17">
        <f t="shared" si="33"/>
        <v>0</v>
      </c>
      <c r="AB124" s="17">
        <f t="shared" si="33"/>
        <v>0</v>
      </c>
      <c r="AC124" s="58"/>
      <c r="AD124" s="131"/>
      <c r="AE124" s="131"/>
    </row>
    <row r="125" spans="1:31" ht="15" customHeight="1">
      <c r="A125" s="22"/>
      <c r="B125" s="23" t="s">
        <v>15</v>
      </c>
      <c r="C125" s="43"/>
      <c r="D125" s="43"/>
      <c r="E125" s="17">
        <f aca="true" t="shared" si="34" ref="E125:T125">SUM(E124,E117,E114,E105,E102)</f>
        <v>141.07</v>
      </c>
      <c r="F125" s="17">
        <f t="shared" si="34"/>
        <v>133.52</v>
      </c>
      <c r="G125" s="17">
        <f t="shared" si="34"/>
        <v>61.88000000000001</v>
      </c>
      <c r="H125" s="17">
        <f t="shared" si="34"/>
        <v>56.8</v>
      </c>
      <c r="I125" s="17">
        <f t="shared" si="34"/>
        <v>57.459999999999994</v>
      </c>
      <c r="J125" s="17">
        <f t="shared" si="34"/>
        <v>50.836</v>
      </c>
      <c r="K125" s="17">
        <f t="shared" si="34"/>
        <v>266.05538461538464</v>
      </c>
      <c r="L125" s="17">
        <f t="shared" si="34"/>
        <v>228.88</v>
      </c>
      <c r="M125" s="17">
        <f t="shared" si="34"/>
        <v>1816.7353846153846</v>
      </c>
      <c r="N125" s="17">
        <f t="shared" si="34"/>
        <v>1588.7733333333333</v>
      </c>
      <c r="O125" s="17">
        <f t="shared" si="34"/>
        <v>0.9973333333333333</v>
      </c>
      <c r="P125" s="17">
        <f t="shared" si="34"/>
        <v>0.7550000000000001</v>
      </c>
      <c r="Q125" s="17">
        <f t="shared" si="34"/>
        <v>1.3756666666666666</v>
      </c>
      <c r="R125" s="17">
        <f t="shared" si="34"/>
        <v>1.0558333333333334</v>
      </c>
      <c r="S125" s="17">
        <f t="shared" si="34"/>
        <v>50.00538461538462</v>
      </c>
      <c r="T125" s="17">
        <f t="shared" si="34"/>
        <v>45.087500000000006</v>
      </c>
      <c r="U125" s="17">
        <f>U124+U117+U114+U105+U102</f>
        <v>795.5733333333333</v>
      </c>
      <c r="V125" s="17">
        <f>V124+V117+V114+V105+V102</f>
        <v>656.2916666666666</v>
      </c>
      <c r="W125" s="17">
        <f>W124+W117+W114+W105+W102</f>
        <v>-5.607999999999999</v>
      </c>
      <c r="X125" s="17">
        <f>X124+X117+X114+X105+X102</f>
        <v>-10.41</v>
      </c>
      <c r="Y125" s="72">
        <f>Y124+Y117+Y114+Y105+Y102</f>
        <v>-20</v>
      </c>
      <c r="Z125" s="58"/>
      <c r="AA125" s="58"/>
      <c r="AB125" s="58"/>
      <c r="AC125" s="58"/>
      <c r="AD125" s="132"/>
      <c r="AE125" s="132"/>
    </row>
    <row r="126" spans="1:31" ht="15" customHeight="1">
      <c r="A126" s="22"/>
      <c r="B126" s="90" t="s">
        <v>167</v>
      </c>
      <c r="C126" s="43"/>
      <c r="D126" s="43"/>
      <c r="E126" s="28"/>
      <c r="F126" s="17"/>
      <c r="G126" s="28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41"/>
      <c r="U126" s="41"/>
      <c r="V126" s="41"/>
      <c r="W126" s="41"/>
      <c r="X126" s="75"/>
      <c r="Y126" s="54"/>
      <c r="Z126" s="53"/>
      <c r="AA126" s="53"/>
      <c r="AB126" s="53"/>
      <c r="AC126" s="53"/>
      <c r="AD126" s="53"/>
      <c r="AE126" s="53"/>
    </row>
    <row r="127" spans="1:31" ht="15" customHeight="1">
      <c r="A127" s="22"/>
      <c r="B127" s="91" t="s">
        <v>18</v>
      </c>
      <c r="C127" s="43"/>
      <c r="D127" s="43"/>
      <c r="E127" s="28"/>
      <c r="F127" s="28"/>
      <c r="G127" s="28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41"/>
      <c r="U127" s="41"/>
      <c r="V127" s="41"/>
      <c r="W127" s="41"/>
      <c r="X127" s="75"/>
      <c r="Y127" s="54"/>
      <c r="Z127" s="53"/>
      <c r="AA127" s="53"/>
      <c r="AB127" s="53"/>
      <c r="AC127" s="53"/>
      <c r="AD127" s="53"/>
      <c r="AE127" s="53"/>
    </row>
    <row r="128" spans="1:30" s="7" customFormat="1" ht="15" customHeight="1">
      <c r="A128" s="119" t="s">
        <v>52</v>
      </c>
      <c r="B128" s="23" t="s">
        <v>54</v>
      </c>
      <c r="C128" s="43" t="s">
        <v>75</v>
      </c>
      <c r="D128" s="43" t="s">
        <v>75</v>
      </c>
      <c r="E128" s="28">
        <v>4.18</v>
      </c>
      <c r="F128" s="28">
        <v>4.18</v>
      </c>
      <c r="G128" s="28">
        <v>1.63</v>
      </c>
      <c r="H128" s="29">
        <v>1.63</v>
      </c>
      <c r="I128" s="29">
        <v>4.7</v>
      </c>
      <c r="J128" s="29">
        <v>4.7</v>
      </c>
      <c r="K128" s="29">
        <v>10.4</v>
      </c>
      <c r="L128" s="29">
        <v>10.4</v>
      </c>
      <c r="M128" s="29">
        <v>90.42</v>
      </c>
      <c r="N128" s="29">
        <v>90.42</v>
      </c>
      <c r="O128" s="40">
        <v>0.08</v>
      </c>
      <c r="P128" s="44">
        <v>0.05</v>
      </c>
      <c r="Q128" s="40">
        <v>0.04</v>
      </c>
      <c r="R128" s="44">
        <v>0.02</v>
      </c>
      <c r="S128" s="40">
        <v>0</v>
      </c>
      <c r="T128" s="29">
        <f>S128*25/45</f>
        <v>0</v>
      </c>
      <c r="U128" s="42">
        <v>13.6</v>
      </c>
      <c r="V128" s="47">
        <v>8.6</v>
      </c>
      <c r="W128" s="42">
        <v>0.81</v>
      </c>
      <c r="X128" s="47">
        <v>0.49</v>
      </c>
      <c r="Y128" s="76"/>
      <c r="Z128" s="76"/>
      <c r="AA128" s="76"/>
      <c r="AB128" s="76"/>
      <c r="AC128" s="76"/>
      <c r="AD128" s="76"/>
    </row>
    <row r="129" spans="1:31" ht="24.75" customHeight="1">
      <c r="A129" s="120" t="s">
        <v>55</v>
      </c>
      <c r="B129" s="64" t="s">
        <v>68</v>
      </c>
      <c r="C129" s="111" t="s">
        <v>80</v>
      </c>
      <c r="D129" s="111" t="s">
        <v>81</v>
      </c>
      <c r="E129" s="78">
        <v>12.34</v>
      </c>
      <c r="F129" s="78">
        <v>9.64</v>
      </c>
      <c r="G129" s="78">
        <v>3.1</v>
      </c>
      <c r="H129" s="78">
        <v>2.4</v>
      </c>
      <c r="I129" s="78">
        <v>5</v>
      </c>
      <c r="J129" s="78">
        <v>3.8</v>
      </c>
      <c r="K129" s="78">
        <v>21.1</v>
      </c>
      <c r="L129" s="78">
        <v>16</v>
      </c>
      <c r="M129" s="78">
        <v>140</v>
      </c>
      <c r="N129" s="78">
        <v>107.8</v>
      </c>
      <c r="O129" s="117">
        <v>0.1</v>
      </c>
      <c r="P129" s="118">
        <f>O129*150/200</f>
        <v>0.075</v>
      </c>
      <c r="Q129" s="117">
        <v>0.25</v>
      </c>
      <c r="R129" s="118">
        <f>Q129*150/200</f>
        <v>0.1875</v>
      </c>
      <c r="S129" s="117">
        <v>0</v>
      </c>
      <c r="T129" s="78">
        <f>S129*153/203</f>
        <v>0</v>
      </c>
      <c r="U129" s="66">
        <v>175.2</v>
      </c>
      <c r="V129" s="62">
        <v>164.9</v>
      </c>
      <c r="W129" s="66">
        <v>0.9</v>
      </c>
      <c r="X129" s="82">
        <f>W129*150/200</f>
        <v>0.675</v>
      </c>
      <c r="Y129" s="53"/>
      <c r="Z129" s="53"/>
      <c r="AA129" s="53"/>
      <c r="AB129" s="53"/>
      <c r="AC129" s="53"/>
      <c r="AD129" s="53"/>
      <c r="AE129" s="53"/>
    </row>
    <row r="130" spans="1:31" ht="15.75" customHeight="1">
      <c r="A130" s="119" t="s">
        <v>50</v>
      </c>
      <c r="B130" s="23" t="s">
        <v>53</v>
      </c>
      <c r="C130" s="43" t="s">
        <v>31</v>
      </c>
      <c r="D130" s="43" t="s">
        <v>6</v>
      </c>
      <c r="E130" s="28">
        <v>5.86</v>
      </c>
      <c r="F130" s="28">
        <v>4.74</v>
      </c>
      <c r="G130" s="28">
        <v>2.85</v>
      </c>
      <c r="H130" s="29">
        <v>2.34</v>
      </c>
      <c r="I130" s="28">
        <v>2.41</v>
      </c>
      <c r="J130" s="29">
        <v>2</v>
      </c>
      <c r="K130" s="28">
        <v>14.36</v>
      </c>
      <c r="L130" s="29">
        <v>10.63</v>
      </c>
      <c r="M130" s="28">
        <v>91</v>
      </c>
      <c r="N130" s="29">
        <v>70</v>
      </c>
      <c r="O130" s="28">
        <f>P130*180/150</f>
        <v>0.012</v>
      </c>
      <c r="P130" s="44">
        <v>0.01</v>
      </c>
      <c r="Q130" s="28">
        <f>R130*180/150</f>
        <v>0.084</v>
      </c>
      <c r="R130" s="44">
        <v>0.07</v>
      </c>
      <c r="S130" s="28">
        <v>1.17</v>
      </c>
      <c r="T130" s="29">
        <f>S130*150/180</f>
        <v>0.975</v>
      </c>
      <c r="U130" s="28">
        <f>V130*180/150</f>
        <v>57.516</v>
      </c>
      <c r="V130" s="44">
        <v>47.93</v>
      </c>
      <c r="W130" s="28">
        <f>X130*180/150</f>
        <v>0.264</v>
      </c>
      <c r="X130" s="44">
        <v>0.22</v>
      </c>
      <c r="Y130" s="53"/>
      <c r="Z130" s="53"/>
      <c r="AA130" s="53"/>
      <c r="AB130" s="53"/>
      <c r="AC130" s="53"/>
      <c r="AD130" s="53"/>
      <c r="AE130" s="53"/>
    </row>
    <row r="131" spans="1:31" ht="15" customHeight="1">
      <c r="A131" s="22"/>
      <c r="B131" s="23" t="s">
        <v>7</v>
      </c>
      <c r="C131" s="43"/>
      <c r="D131" s="43"/>
      <c r="E131" s="17">
        <f>SUM(E128:E130)</f>
        <v>22.38</v>
      </c>
      <c r="F131" s="17">
        <f aca="true" t="shared" si="35" ref="F131:T131">SUM(F128:F130)</f>
        <v>18.560000000000002</v>
      </c>
      <c r="G131" s="17">
        <f t="shared" si="35"/>
        <v>7.58</v>
      </c>
      <c r="H131" s="17">
        <f t="shared" si="35"/>
        <v>6.369999999999999</v>
      </c>
      <c r="I131" s="17">
        <f t="shared" si="35"/>
        <v>12.11</v>
      </c>
      <c r="J131" s="17">
        <f t="shared" si="35"/>
        <v>10.5</v>
      </c>
      <c r="K131" s="17">
        <f t="shared" si="35"/>
        <v>45.86</v>
      </c>
      <c r="L131" s="17">
        <f t="shared" si="35"/>
        <v>37.03</v>
      </c>
      <c r="M131" s="17">
        <f t="shared" si="35"/>
        <v>321.42</v>
      </c>
      <c r="N131" s="17">
        <f t="shared" si="35"/>
        <v>268.22</v>
      </c>
      <c r="O131" s="17">
        <f t="shared" si="35"/>
        <v>0.192</v>
      </c>
      <c r="P131" s="17">
        <f t="shared" si="35"/>
        <v>0.135</v>
      </c>
      <c r="Q131" s="17">
        <f t="shared" si="35"/>
        <v>0.374</v>
      </c>
      <c r="R131" s="17">
        <f t="shared" si="35"/>
        <v>0.27749999999999997</v>
      </c>
      <c r="S131" s="17">
        <f t="shared" si="35"/>
        <v>1.17</v>
      </c>
      <c r="T131" s="17">
        <f t="shared" si="35"/>
        <v>0.975</v>
      </c>
      <c r="U131" s="17">
        <f>SUM(U128:U130)</f>
        <v>246.31599999999997</v>
      </c>
      <c r="V131" s="17">
        <f>SUM(V128:V130)</f>
        <v>221.43</v>
      </c>
      <c r="W131" s="17">
        <f>SUM(W128:W130)</f>
        <v>1.974</v>
      </c>
      <c r="X131" s="17">
        <f>SUM(X128:X130)</f>
        <v>1.385</v>
      </c>
      <c r="Y131" s="63"/>
      <c r="Z131" s="58"/>
      <c r="AA131" s="58"/>
      <c r="AB131" s="58"/>
      <c r="AC131" s="58"/>
      <c r="AD131" s="53"/>
      <c r="AE131" s="53"/>
    </row>
    <row r="132" spans="1:31" ht="15" customHeight="1">
      <c r="A132" s="22"/>
      <c r="B132" s="91" t="s">
        <v>19</v>
      </c>
      <c r="C132" s="43"/>
      <c r="D132" s="43"/>
      <c r="E132" s="28"/>
      <c r="F132" s="28"/>
      <c r="G132" s="28"/>
      <c r="H132" s="45"/>
      <c r="I132" s="45"/>
      <c r="J132" s="45"/>
      <c r="K132" s="45"/>
      <c r="L132" s="45"/>
      <c r="M132" s="45"/>
      <c r="N132" s="45"/>
      <c r="O132" s="41"/>
      <c r="P132" s="41"/>
      <c r="Q132" s="41"/>
      <c r="R132" s="41"/>
      <c r="S132" s="41"/>
      <c r="T132" s="41"/>
      <c r="U132" s="41"/>
      <c r="V132" s="41"/>
      <c r="W132" s="41"/>
      <c r="X132" s="75"/>
      <c r="Y132" s="54"/>
      <c r="Z132" s="53"/>
      <c r="AA132" s="53"/>
      <c r="AB132" s="53"/>
      <c r="AC132" s="53"/>
      <c r="AD132" s="53"/>
      <c r="AE132" s="53"/>
    </row>
    <row r="133" spans="1:30" ht="15" customHeight="1">
      <c r="A133" s="22" t="s">
        <v>25</v>
      </c>
      <c r="B133" s="23" t="s">
        <v>120</v>
      </c>
      <c r="C133" s="43" t="s">
        <v>6</v>
      </c>
      <c r="D133" s="43" t="s">
        <v>6</v>
      </c>
      <c r="E133" s="28">
        <v>11.94</v>
      </c>
      <c r="F133" s="28">
        <v>11.94</v>
      </c>
      <c r="G133" s="28">
        <v>4.43</v>
      </c>
      <c r="H133" s="117">
        <v>4.43</v>
      </c>
      <c r="I133" s="28">
        <v>5.06</v>
      </c>
      <c r="J133" s="117">
        <v>5.06</v>
      </c>
      <c r="K133" s="28">
        <v>6.49</v>
      </c>
      <c r="L133" s="117">
        <v>6.49</v>
      </c>
      <c r="M133" s="28">
        <v>89.25</v>
      </c>
      <c r="N133" s="117">
        <v>89.25</v>
      </c>
      <c r="O133" s="28">
        <v>0.06</v>
      </c>
      <c r="P133" s="29">
        <f>O133*150/180</f>
        <v>0.05</v>
      </c>
      <c r="Q133" s="28">
        <v>0.25</v>
      </c>
      <c r="R133" s="29">
        <f>Q133*150/180</f>
        <v>0.20833333333333334</v>
      </c>
      <c r="S133" s="28">
        <v>1.27</v>
      </c>
      <c r="T133" s="117">
        <v>1.27</v>
      </c>
      <c r="U133" s="28">
        <v>235.31</v>
      </c>
      <c r="V133" s="29">
        <f>U133*150/180</f>
        <v>196.09166666666667</v>
      </c>
      <c r="W133" s="28">
        <v>0.19</v>
      </c>
      <c r="X133" s="74">
        <f>W133*150/180</f>
        <v>0.15833333333333333</v>
      </c>
      <c r="Y133" s="59"/>
      <c r="Z133" s="57"/>
      <c r="AA133" s="57"/>
      <c r="AB133" s="57"/>
      <c r="AC133" s="57"/>
      <c r="AD133" s="57"/>
    </row>
    <row r="134" spans="1:31" ht="15" customHeight="1">
      <c r="A134" s="22"/>
      <c r="B134" s="23" t="s">
        <v>7</v>
      </c>
      <c r="C134" s="43"/>
      <c r="D134" s="43"/>
      <c r="E134" s="17">
        <f>SUM(E133)</f>
        <v>11.94</v>
      </c>
      <c r="F134" s="17">
        <f aca="true" t="shared" si="36" ref="F134:T134">SUM(F133)</f>
        <v>11.94</v>
      </c>
      <c r="G134" s="17">
        <f t="shared" si="36"/>
        <v>4.43</v>
      </c>
      <c r="H134" s="17">
        <f t="shared" si="36"/>
        <v>4.43</v>
      </c>
      <c r="I134" s="17">
        <f t="shared" si="36"/>
        <v>5.06</v>
      </c>
      <c r="J134" s="17">
        <f t="shared" si="36"/>
        <v>5.06</v>
      </c>
      <c r="K134" s="17">
        <f t="shared" si="36"/>
        <v>6.49</v>
      </c>
      <c r="L134" s="17">
        <f t="shared" si="36"/>
        <v>6.49</v>
      </c>
      <c r="M134" s="17">
        <f t="shared" si="36"/>
        <v>89.25</v>
      </c>
      <c r="N134" s="17">
        <f t="shared" si="36"/>
        <v>89.25</v>
      </c>
      <c r="O134" s="17">
        <f t="shared" si="36"/>
        <v>0.06</v>
      </c>
      <c r="P134" s="17">
        <f t="shared" si="36"/>
        <v>0.05</v>
      </c>
      <c r="Q134" s="17">
        <f t="shared" si="36"/>
        <v>0.25</v>
      </c>
      <c r="R134" s="17">
        <f t="shared" si="36"/>
        <v>0.20833333333333334</v>
      </c>
      <c r="S134" s="17">
        <f t="shared" si="36"/>
        <v>1.27</v>
      </c>
      <c r="T134" s="17">
        <f t="shared" si="36"/>
        <v>1.27</v>
      </c>
      <c r="U134" s="17">
        <f>SUM(U133)</f>
        <v>235.31</v>
      </c>
      <c r="V134" s="17">
        <f>SUM(V133)</f>
        <v>196.09166666666667</v>
      </c>
      <c r="W134" s="17">
        <f>SUM(W133)</f>
        <v>0.19</v>
      </c>
      <c r="X134" s="17">
        <f>SUM(X133)</f>
        <v>0.15833333333333333</v>
      </c>
      <c r="Y134" s="72">
        <f>SUM(Y133)</f>
        <v>0</v>
      </c>
      <c r="Z134" s="58"/>
      <c r="AA134" s="58"/>
      <c r="AB134" s="58"/>
      <c r="AC134" s="58"/>
      <c r="AD134" s="58"/>
      <c r="AE134" s="53"/>
    </row>
    <row r="135" spans="1:31" ht="15" customHeight="1">
      <c r="A135" s="22"/>
      <c r="B135" s="91" t="s">
        <v>9</v>
      </c>
      <c r="C135" s="43"/>
      <c r="D135" s="43"/>
      <c r="E135" s="28"/>
      <c r="F135" s="28"/>
      <c r="G135" s="28"/>
      <c r="H135" s="29"/>
      <c r="I135" s="29"/>
      <c r="J135" s="29"/>
      <c r="K135" s="29"/>
      <c r="L135" s="29"/>
      <c r="M135" s="29"/>
      <c r="N135" s="29"/>
      <c r="O135" s="41"/>
      <c r="P135" s="41"/>
      <c r="Q135" s="41"/>
      <c r="R135" s="41"/>
      <c r="S135" s="41"/>
      <c r="T135" s="41"/>
      <c r="U135" s="41"/>
      <c r="V135" s="41"/>
      <c r="W135" s="41"/>
      <c r="X135" s="75"/>
      <c r="Y135" s="54"/>
      <c r="Z135" s="53"/>
      <c r="AA135" s="53"/>
      <c r="AB135" s="53"/>
      <c r="AC135" s="53"/>
      <c r="AD135" s="53"/>
      <c r="AE135" s="53"/>
    </row>
    <row r="136" spans="1:24" ht="12.75">
      <c r="A136" s="126" t="s">
        <v>96</v>
      </c>
      <c r="B136" s="23" t="s">
        <v>97</v>
      </c>
      <c r="C136" s="43" t="s">
        <v>30</v>
      </c>
      <c r="D136" s="43" t="s">
        <v>104</v>
      </c>
      <c r="E136" s="28">
        <v>1.22</v>
      </c>
      <c r="F136" s="28">
        <v>0.92</v>
      </c>
      <c r="G136" s="127">
        <f>H136*60/50</f>
        <v>0.54</v>
      </c>
      <c r="H136" s="85">
        <v>0.45</v>
      </c>
      <c r="I136" s="127">
        <f>J136*60/50</f>
        <v>3.24</v>
      </c>
      <c r="J136" s="85">
        <v>2.7</v>
      </c>
      <c r="K136" s="127">
        <f>L136*60/50</f>
        <v>4.32</v>
      </c>
      <c r="L136" s="85">
        <v>3.6</v>
      </c>
      <c r="M136" s="127">
        <f>N136*60/50</f>
        <v>48.6</v>
      </c>
      <c r="N136" s="85">
        <v>40.5</v>
      </c>
      <c r="O136" s="127">
        <v>0.01</v>
      </c>
      <c r="P136" s="85">
        <v>0</v>
      </c>
      <c r="Q136" s="127">
        <v>0.02</v>
      </c>
      <c r="R136" s="85">
        <v>0</v>
      </c>
      <c r="S136" s="127">
        <f>T136*60/50</f>
        <v>4.656</v>
      </c>
      <c r="T136" s="85">
        <v>3.88</v>
      </c>
      <c r="U136" s="127">
        <v>20.69</v>
      </c>
      <c r="V136" s="85">
        <v>0</v>
      </c>
      <c r="W136" s="127">
        <v>0.78</v>
      </c>
      <c r="X136" s="85">
        <v>0</v>
      </c>
    </row>
    <row r="137" spans="1:33" ht="27.75" customHeight="1">
      <c r="A137" s="22" t="s">
        <v>73</v>
      </c>
      <c r="B137" s="162" t="s">
        <v>176</v>
      </c>
      <c r="C137" s="43" t="s">
        <v>118</v>
      </c>
      <c r="D137" s="43" t="s">
        <v>119</v>
      </c>
      <c r="E137" s="28">
        <v>5.74</v>
      </c>
      <c r="F137" s="28">
        <v>4.53</v>
      </c>
      <c r="G137" s="28">
        <v>1.9</v>
      </c>
      <c r="H137" s="29">
        <v>1.46</v>
      </c>
      <c r="I137" s="29">
        <v>4.27</v>
      </c>
      <c r="J137" s="29">
        <v>3.39</v>
      </c>
      <c r="K137" s="29">
        <v>10.08</v>
      </c>
      <c r="L137" s="29">
        <v>7.6</v>
      </c>
      <c r="M137" s="29">
        <v>86.35</v>
      </c>
      <c r="N137" s="29">
        <v>66.75</v>
      </c>
      <c r="O137" s="29">
        <v>0.1</v>
      </c>
      <c r="P137" s="29">
        <f>O137*150/200</f>
        <v>0.075</v>
      </c>
      <c r="Q137" s="29">
        <v>0.06</v>
      </c>
      <c r="R137" s="29">
        <f>Q137*150/200</f>
        <v>0.045</v>
      </c>
      <c r="S137" s="29">
        <v>14.15</v>
      </c>
      <c r="T137" s="29">
        <v>10.15</v>
      </c>
      <c r="U137" s="29">
        <v>41.92</v>
      </c>
      <c r="V137" s="29">
        <f>U137*150/200</f>
        <v>31.44</v>
      </c>
      <c r="W137" s="29">
        <v>1.55</v>
      </c>
      <c r="X137" s="74">
        <f>W137*150/200</f>
        <v>1.1625</v>
      </c>
      <c r="Y137" s="54"/>
      <c r="Z137" s="53"/>
      <c r="AA137" s="53"/>
      <c r="AB137" s="53"/>
      <c r="AC137" s="53"/>
      <c r="AD137" s="53"/>
      <c r="AE137" s="53"/>
      <c r="AF137" s="53"/>
      <c r="AG137" s="53"/>
    </row>
    <row r="138" spans="1:31" ht="18.75" customHeight="1">
      <c r="A138" s="124" t="s">
        <v>177</v>
      </c>
      <c r="B138" s="25" t="s">
        <v>178</v>
      </c>
      <c r="C138" s="43" t="s">
        <v>140</v>
      </c>
      <c r="D138" s="43" t="s">
        <v>140</v>
      </c>
      <c r="E138" s="28">
        <v>21.65</v>
      </c>
      <c r="F138" s="28">
        <v>21.65</v>
      </c>
      <c r="G138" s="28">
        <v>18.6</v>
      </c>
      <c r="H138" s="28">
        <v>18.6</v>
      </c>
      <c r="I138" s="28">
        <v>4.4</v>
      </c>
      <c r="J138" s="28">
        <v>4.4</v>
      </c>
      <c r="K138" s="29">
        <v>3.34</v>
      </c>
      <c r="L138" s="28">
        <v>3.34</v>
      </c>
      <c r="M138" s="29">
        <v>127.3</v>
      </c>
      <c r="N138" s="28">
        <v>127.3</v>
      </c>
      <c r="O138" s="29">
        <v>0.07</v>
      </c>
      <c r="P138" s="28">
        <v>0.07</v>
      </c>
      <c r="Q138" s="29">
        <v>0.06</v>
      </c>
      <c r="R138" s="28">
        <v>0.06</v>
      </c>
      <c r="S138" s="29">
        <v>0.65</v>
      </c>
      <c r="T138" s="28">
        <v>0.65</v>
      </c>
      <c r="U138" s="29">
        <v>10.67</v>
      </c>
      <c r="V138" s="28">
        <v>10.67</v>
      </c>
      <c r="W138" s="29">
        <v>1.35</v>
      </c>
      <c r="X138" s="28">
        <v>1.35</v>
      </c>
      <c r="Z138" s="53"/>
      <c r="AA138" s="53"/>
      <c r="AB138" s="53"/>
      <c r="AC138" s="53"/>
      <c r="AD138" s="53"/>
      <c r="AE138" s="53"/>
    </row>
    <row r="139" spans="1:31" ht="15" customHeight="1">
      <c r="A139" s="120" t="s">
        <v>29</v>
      </c>
      <c r="B139" s="67" t="s">
        <v>27</v>
      </c>
      <c r="C139" s="65" t="s">
        <v>6</v>
      </c>
      <c r="D139" s="65" t="s">
        <v>69</v>
      </c>
      <c r="E139" s="61">
        <v>4.54</v>
      </c>
      <c r="F139" s="61">
        <v>3.93</v>
      </c>
      <c r="G139" s="62">
        <f>H139*150/100</f>
        <v>5.64</v>
      </c>
      <c r="H139" s="62">
        <v>3.76</v>
      </c>
      <c r="I139" s="62">
        <f>J139*150/100</f>
        <v>5.085</v>
      </c>
      <c r="J139" s="62">
        <v>3.39</v>
      </c>
      <c r="K139" s="62">
        <f>L139*150/100</f>
        <v>31.185</v>
      </c>
      <c r="L139" s="62">
        <v>20.79</v>
      </c>
      <c r="M139" s="62">
        <f>N139*150/100</f>
        <v>193.5</v>
      </c>
      <c r="N139" s="62">
        <v>129</v>
      </c>
      <c r="O139" s="66">
        <v>0.09</v>
      </c>
      <c r="P139" s="62">
        <f>O139/1.5</f>
        <v>0.06</v>
      </c>
      <c r="Q139" s="66">
        <v>0.06</v>
      </c>
      <c r="R139" s="62">
        <f>Q139/1.5</f>
        <v>0.04</v>
      </c>
      <c r="S139" s="66">
        <v>0</v>
      </c>
      <c r="T139" s="62">
        <f>S139/1.5</f>
        <v>0</v>
      </c>
      <c r="U139" s="66">
        <v>12.89</v>
      </c>
      <c r="V139" s="62">
        <f>U139/1.5</f>
        <v>8.593333333333334</v>
      </c>
      <c r="W139" s="66">
        <v>0.78</v>
      </c>
      <c r="X139" s="82">
        <f>W139/1.5</f>
        <v>0.52</v>
      </c>
      <c r="Y139" s="53"/>
      <c r="Z139" s="53"/>
      <c r="AA139" s="53"/>
      <c r="AB139" s="53"/>
      <c r="AC139" s="53"/>
      <c r="AD139" s="53"/>
      <c r="AE139" s="53"/>
    </row>
    <row r="140" spans="1:31" ht="15.75" customHeight="1">
      <c r="A140" s="119" t="s">
        <v>91</v>
      </c>
      <c r="B140" s="23" t="s">
        <v>92</v>
      </c>
      <c r="C140" s="43" t="s">
        <v>5</v>
      </c>
      <c r="D140" s="43" t="s">
        <v>6</v>
      </c>
      <c r="E140" s="28">
        <v>2.35</v>
      </c>
      <c r="F140" s="28">
        <v>1.76</v>
      </c>
      <c r="G140" s="40">
        <v>1.2</v>
      </c>
      <c r="H140" s="44">
        <v>0.9</v>
      </c>
      <c r="I140" s="40">
        <f>J140*200/150</f>
        <v>0</v>
      </c>
      <c r="J140" s="44">
        <v>0</v>
      </c>
      <c r="K140" s="40">
        <v>31.6</v>
      </c>
      <c r="L140" s="44">
        <v>23.7</v>
      </c>
      <c r="M140" s="40">
        <v>126</v>
      </c>
      <c r="N140" s="44">
        <v>94.5</v>
      </c>
      <c r="O140" s="29">
        <v>0.02</v>
      </c>
      <c r="P140" s="29">
        <f>O140*150/200</f>
        <v>0.015</v>
      </c>
      <c r="Q140" s="29">
        <v>0.01</v>
      </c>
      <c r="R140" s="29">
        <f>Q140*150/200</f>
        <v>0.0075</v>
      </c>
      <c r="S140" s="29">
        <v>0</v>
      </c>
      <c r="T140" s="62">
        <v>0</v>
      </c>
      <c r="U140" s="69">
        <v>25.91</v>
      </c>
      <c r="V140" s="62">
        <f>U140*150/200</f>
        <v>19.4325</v>
      </c>
      <c r="W140" s="69">
        <v>0.65</v>
      </c>
      <c r="X140" s="82">
        <f>W140*150/200</f>
        <v>0.4875</v>
      </c>
      <c r="Y140" s="53"/>
      <c r="Z140" s="53"/>
      <c r="AA140" s="53"/>
      <c r="AB140" s="53"/>
      <c r="AC140" s="53"/>
      <c r="AD140" s="53"/>
      <c r="AE140" s="53"/>
    </row>
    <row r="141" spans="1:31" s="16" customFormat="1" ht="15" customHeight="1">
      <c r="A141" s="119"/>
      <c r="B141" s="23" t="s">
        <v>11</v>
      </c>
      <c r="C141" s="43" t="s">
        <v>14</v>
      </c>
      <c r="D141" s="43" t="s">
        <v>14</v>
      </c>
      <c r="E141" s="28">
        <v>1.22</v>
      </c>
      <c r="F141" s="28">
        <v>1.22</v>
      </c>
      <c r="G141" s="28">
        <v>1.6</v>
      </c>
      <c r="H141" s="28">
        <v>1.6</v>
      </c>
      <c r="I141" s="28">
        <v>0.4</v>
      </c>
      <c r="J141" s="28">
        <v>0.4</v>
      </c>
      <c r="K141" s="28">
        <v>10</v>
      </c>
      <c r="L141" s="28">
        <v>10</v>
      </c>
      <c r="M141" s="29">
        <v>54</v>
      </c>
      <c r="N141" s="29">
        <v>54</v>
      </c>
      <c r="O141" s="42">
        <v>0.04</v>
      </c>
      <c r="P141" s="47">
        <v>0.04</v>
      </c>
      <c r="Q141" s="42">
        <v>0.02</v>
      </c>
      <c r="R141" s="47">
        <v>0.02</v>
      </c>
      <c r="S141" s="42">
        <v>0</v>
      </c>
      <c r="T141" s="47">
        <v>0</v>
      </c>
      <c r="U141" s="42">
        <v>7.4</v>
      </c>
      <c r="V141" s="47">
        <v>7.4</v>
      </c>
      <c r="W141" s="42">
        <v>0.56</v>
      </c>
      <c r="X141" s="47">
        <v>0.56</v>
      </c>
      <c r="Y141" s="56"/>
      <c r="Z141" s="56"/>
      <c r="AA141" s="56"/>
      <c r="AB141" s="56"/>
      <c r="AC141" s="56"/>
      <c r="AD141" s="56"/>
      <c r="AE141" s="56"/>
    </row>
    <row r="142" spans="1:31" ht="15" customHeight="1">
      <c r="A142" s="119"/>
      <c r="B142" s="23" t="s">
        <v>47</v>
      </c>
      <c r="C142" s="43" t="s">
        <v>70</v>
      </c>
      <c r="D142" s="43" t="s">
        <v>71</v>
      </c>
      <c r="E142" s="28">
        <v>2.3</v>
      </c>
      <c r="F142" s="28">
        <v>2.01</v>
      </c>
      <c r="G142" s="28">
        <v>3.25</v>
      </c>
      <c r="H142" s="29">
        <v>2.84</v>
      </c>
      <c r="I142" s="29">
        <v>0.46</v>
      </c>
      <c r="J142" s="29">
        <f>I142*40.6/46</f>
        <v>0.406</v>
      </c>
      <c r="K142" s="29">
        <v>20.88</v>
      </c>
      <c r="L142" s="29">
        <v>18.27</v>
      </c>
      <c r="M142" s="29">
        <v>102.08</v>
      </c>
      <c r="N142" s="29">
        <v>89.32</v>
      </c>
      <c r="O142" s="40">
        <v>0.06</v>
      </c>
      <c r="P142" s="44">
        <v>0.04</v>
      </c>
      <c r="Q142" s="40">
        <v>0.04</v>
      </c>
      <c r="R142" s="44">
        <v>0.03</v>
      </c>
      <c r="S142" s="40">
        <v>0</v>
      </c>
      <c r="T142" s="29">
        <f>S142*40.6/46</f>
        <v>0</v>
      </c>
      <c r="U142" s="42">
        <v>17</v>
      </c>
      <c r="V142" s="47">
        <v>13.6</v>
      </c>
      <c r="W142" s="42">
        <v>1.15</v>
      </c>
      <c r="X142" s="47">
        <v>0.92</v>
      </c>
      <c r="Y142" s="53"/>
      <c r="Z142" s="53"/>
      <c r="AA142" s="53"/>
      <c r="AB142" s="53"/>
      <c r="AC142" s="53"/>
      <c r="AD142" s="53"/>
      <c r="AE142" s="53"/>
    </row>
    <row r="143" spans="1:31" ht="15" customHeight="1">
      <c r="A143" s="22"/>
      <c r="B143" s="23" t="s">
        <v>7</v>
      </c>
      <c r="C143" s="43"/>
      <c r="D143" s="43"/>
      <c r="E143" s="17">
        <f>SUM(E136:E142)</f>
        <v>39.019999999999996</v>
      </c>
      <c r="F143" s="17">
        <f aca="true" t="shared" si="37" ref="F143:T143">SUM(F136:F142)</f>
        <v>36.019999999999996</v>
      </c>
      <c r="G143" s="17">
        <f t="shared" si="37"/>
        <v>32.730000000000004</v>
      </c>
      <c r="H143" s="17">
        <f t="shared" si="37"/>
        <v>29.610000000000003</v>
      </c>
      <c r="I143" s="17">
        <f t="shared" si="37"/>
        <v>17.855</v>
      </c>
      <c r="J143" s="17">
        <f t="shared" si="37"/>
        <v>14.686000000000002</v>
      </c>
      <c r="K143" s="17">
        <f t="shared" si="37"/>
        <v>111.405</v>
      </c>
      <c r="L143" s="17">
        <f t="shared" si="37"/>
        <v>87.3</v>
      </c>
      <c r="M143" s="17">
        <f t="shared" si="37"/>
        <v>737.83</v>
      </c>
      <c r="N143" s="17">
        <f t="shared" si="37"/>
        <v>601.3699999999999</v>
      </c>
      <c r="O143" s="17">
        <f t="shared" si="37"/>
        <v>0.39</v>
      </c>
      <c r="P143" s="17">
        <f t="shared" si="37"/>
        <v>0.3</v>
      </c>
      <c r="Q143" s="17">
        <f t="shared" si="37"/>
        <v>0.27</v>
      </c>
      <c r="R143" s="17">
        <f t="shared" si="37"/>
        <v>0.20249999999999999</v>
      </c>
      <c r="S143" s="17">
        <f t="shared" si="37"/>
        <v>19.456</v>
      </c>
      <c r="T143" s="17">
        <f t="shared" si="37"/>
        <v>14.680000000000001</v>
      </c>
      <c r="U143" s="17">
        <f>SUM(U136:U142)</f>
        <v>136.48000000000002</v>
      </c>
      <c r="V143" s="17">
        <f>SUM(V136:V142)</f>
        <v>91.13583333333334</v>
      </c>
      <c r="W143" s="17">
        <f>SUM(W136:W142)</f>
        <v>6.82</v>
      </c>
      <c r="X143" s="17">
        <f>SUM(X136:X142)</f>
        <v>5</v>
      </c>
      <c r="Y143" s="72">
        <f>SUM(Y136:Y142)</f>
        <v>0</v>
      </c>
      <c r="Z143" s="58"/>
      <c r="AA143" s="58"/>
      <c r="AB143" s="58"/>
      <c r="AC143" s="58"/>
      <c r="AD143" s="53"/>
      <c r="AE143" s="53"/>
    </row>
    <row r="144" spans="1:31" ht="15" customHeight="1">
      <c r="A144" s="22"/>
      <c r="B144" s="91" t="s">
        <v>12</v>
      </c>
      <c r="C144" s="43"/>
      <c r="D144" s="43"/>
      <c r="E144" s="28"/>
      <c r="F144" s="28"/>
      <c r="G144" s="28"/>
      <c r="H144" s="29"/>
      <c r="I144" s="29"/>
      <c r="J144" s="29"/>
      <c r="K144" s="29"/>
      <c r="L144" s="29"/>
      <c r="M144" s="29"/>
      <c r="N144" s="29"/>
      <c r="O144" s="41"/>
      <c r="P144" s="41"/>
      <c r="Q144" s="41"/>
      <c r="R144" s="41"/>
      <c r="S144" s="41"/>
      <c r="T144" s="41"/>
      <c r="U144" s="41"/>
      <c r="V144" s="41"/>
      <c r="W144" s="41"/>
      <c r="X144" s="75"/>
      <c r="Y144" s="54"/>
      <c r="Z144" s="53"/>
      <c r="AA144" s="53"/>
      <c r="AB144" s="53"/>
      <c r="AC144" s="53"/>
      <c r="AD144" s="53"/>
      <c r="AE144" s="53"/>
    </row>
    <row r="145" spans="1:30" ht="26.25" customHeight="1">
      <c r="A145" s="119" t="s">
        <v>23</v>
      </c>
      <c r="B145" s="23" t="s">
        <v>183</v>
      </c>
      <c r="C145" s="43" t="s">
        <v>184</v>
      </c>
      <c r="D145" s="43" t="s">
        <v>184</v>
      </c>
      <c r="E145" s="28">
        <v>11.78</v>
      </c>
      <c r="F145" s="28">
        <v>11.78</v>
      </c>
      <c r="G145" s="135">
        <v>6.75</v>
      </c>
      <c r="H145" s="29">
        <v>6.75</v>
      </c>
      <c r="I145" s="135">
        <v>7.02</v>
      </c>
      <c r="J145" s="29">
        <v>7.02</v>
      </c>
      <c r="K145" s="135">
        <v>21.15</v>
      </c>
      <c r="L145" s="29">
        <v>21.15</v>
      </c>
      <c r="M145" s="135">
        <v>174.78</v>
      </c>
      <c r="N145" s="29">
        <v>174.78</v>
      </c>
      <c r="O145" s="135">
        <v>0.1</v>
      </c>
      <c r="P145" s="29">
        <f>O145*215/230</f>
        <v>0.09347826086956522</v>
      </c>
      <c r="Q145" s="135">
        <v>0.29</v>
      </c>
      <c r="R145" s="29">
        <f>Q145*215/230</f>
        <v>0.2710869565217391</v>
      </c>
      <c r="S145" s="135">
        <v>2.46</v>
      </c>
      <c r="T145" s="29">
        <v>2.46</v>
      </c>
      <c r="U145" s="28">
        <v>275.74</v>
      </c>
      <c r="V145" s="29">
        <v>275.74</v>
      </c>
      <c r="W145" s="28">
        <v>0.23</v>
      </c>
      <c r="X145" s="74">
        <v>0.23</v>
      </c>
      <c r="Y145" s="59"/>
      <c r="Z145" s="57"/>
      <c r="AA145" s="57"/>
      <c r="AB145" s="57"/>
      <c r="AC145" s="57"/>
      <c r="AD145" s="1"/>
    </row>
    <row r="146" spans="1:32" ht="15" customHeight="1">
      <c r="A146" s="60"/>
      <c r="B146" s="64" t="s">
        <v>7</v>
      </c>
      <c r="C146" s="111"/>
      <c r="D146" s="111"/>
      <c r="E146" s="114">
        <f>SUM(E145)</f>
        <v>11.78</v>
      </c>
      <c r="F146" s="114">
        <f aca="true" t="shared" si="38" ref="F146:T146">SUM(F145)</f>
        <v>11.78</v>
      </c>
      <c r="G146" s="114">
        <f t="shared" si="38"/>
        <v>6.75</v>
      </c>
      <c r="H146" s="114">
        <f t="shared" si="38"/>
        <v>6.75</v>
      </c>
      <c r="I146" s="114">
        <f t="shared" si="38"/>
        <v>7.02</v>
      </c>
      <c r="J146" s="114">
        <f t="shared" si="38"/>
        <v>7.02</v>
      </c>
      <c r="K146" s="114">
        <f t="shared" si="38"/>
        <v>21.15</v>
      </c>
      <c r="L146" s="114">
        <f t="shared" si="38"/>
        <v>21.15</v>
      </c>
      <c r="M146" s="114">
        <f t="shared" si="38"/>
        <v>174.78</v>
      </c>
      <c r="N146" s="114">
        <f t="shared" si="38"/>
        <v>174.78</v>
      </c>
      <c r="O146" s="114">
        <f t="shared" si="38"/>
        <v>0.1</v>
      </c>
      <c r="P146" s="114">
        <f t="shared" si="38"/>
        <v>0.09347826086956522</v>
      </c>
      <c r="Q146" s="114">
        <f t="shared" si="38"/>
        <v>0.29</v>
      </c>
      <c r="R146" s="114">
        <f t="shared" si="38"/>
        <v>0.2710869565217391</v>
      </c>
      <c r="S146" s="114">
        <f t="shared" si="38"/>
        <v>2.46</v>
      </c>
      <c r="T146" s="114">
        <f t="shared" si="38"/>
        <v>2.46</v>
      </c>
      <c r="U146" s="81">
        <f>SUM(U145:U145)</f>
        <v>275.74</v>
      </c>
      <c r="V146" s="81">
        <f>SUM(V145:V145)</f>
        <v>275.74</v>
      </c>
      <c r="W146" s="81">
        <f>SUM(W145:W145)</f>
        <v>0.23</v>
      </c>
      <c r="X146" s="115">
        <f>SUM(X145:X145)</f>
        <v>0.23</v>
      </c>
      <c r="Y146" s="58"/>
      <c r="Z146" s="58"/>
      <c r="AA146" s="58"/>
      <c r="AB146" s="58"/>
      <c r="AC146" s="58"/>
      <c r="AD146" s="53"/>
      <c r="AE146" s="53"/>
      <c r="AF146" s="53"/>
    </row>
    <row r="147" spans="1:31" ht="14.25" customHeight="1">
      <c r="A147" s="22"/>
      <c r="B147" s="91" t="s">
        <v>13</v>
      </c>
      <c r="C147" s="141"/>
      <c r="D147" s="141"/>
      <c r="E147" s="61"/>
      <c r="F147" s="61"/>
      <c r="G147" s="28"/>
      <c r="H147" s="29"/>
      <c r="I147" s="29"/>
      <c r="J147" s="29"/>
      <c r="K147" s="29"/>
      <c r="L147" s="29"/>
      <c r="M147" s="29"/>
      <c r="N147" s="29"/>
      <c r="O147" s="41"/>
      <c r="P147" s="41"/>
      <c r="Q147" s="41"/>
      <c r="R147" s="41"/>
      <c r="S147" s="41"/>
      <c r="T147" s="41"/>
      <c r="U147" s="41"/>
      <c r="V147" s="41"/>
      <c r="W147" s="41"/>
      <c r="X147" s="75"/>
      <c r="Y147" s="54"/>
      <c r="Z147" s="53"/>
      <c r="AA147" s="53"/>
      <c r="AB147" s="53"/>
      <c r="AC147" s="53"/>
      <c r="AD147" s="53"/>
      <c r="AE147" s="53"/>
    </row>
    <row r="148" spans="1:33" ht="15" customHeight="1">
      <c r="A148" s="120"/>
      <c r="B148" s="64" t="s">
        <v>57</v>
      </c>
      <c r="C148" s="65" t="s">
        <v>156</v>
      </c>
      <c r="D148" s="65" t="s">
        <v>156</v>
      </c>
      <c r="E148" s="61">
        <v>6.91</v>
      </c>
      <c r="F148" s="61">
        <v>6.91</v>
      </c>
      <c r="G148" s="62">
        <v>0.56</v>
      </c>
      <c r="H148" s="62">
        <v>0.56</v>
      </c>
      <c r="I148" s="61">
        <v>0</v>
      </c>
      <c r="J148" s="62">
        <v>0</v>
      </c>
      <c r="K148" s="62">
        <v>15.82</v>
      </c>
      <c r="L148" s="62">
        <v>15.82</v>
      </c>
      <c r="M148" s="62">
        <v>65.52</v>
      </c>
      <c r="N148" s="62">
        <v>65.52</v>
      </c>
      <c r="O148" s="61">
        <v>0.02</v>
      </c>
      <c r="P148" s="62">
        <v>0.02</v>
      </c>
      <c r="Q148" s="61">
        <f>R148*160/150</f>
        <v>0.05333333333333334</v>
      </c>
      <c r="R148" s="62">
        <v>0.05</v>
      </c>
      <c r="S148" s="62">
        <v>22.4</v>
      </c>
      <c r="T148" s="62">
        <v>22.4</v>
      </c>
      <c r="U148" s="61">
        <v>24</v>
      </c>
      <c r="V148" s="62">
        <v>24</v>
      </c>
      <c r="W148" s="61">
        <v>3.3</v>
      </c>
      <c r="X148" s="70">
        <v>3.3</v>
      </c>
      <c r="Y148" s="54"/>
      <c r="Z148" s="57"/>
      <c r="AA148" s="57"/>
      <c r="AB148" s="57"/>
      <c r="AC148" s="53"/>
      <c r="AD148" s="53"/>
      <c r="AE148" s="53"/>
      <c r="AF148" s="53"/>
      <c r="AG148" s="53"/>
    </row>
    <row r="149" spans="1:31" ht="15" customHeight="1">
      <c r="A149" s="123" t="s">
        <v>179</v>
      </c>
      <c r="B149" s="23" t="s">
        <v>180</v>
      </c>
      <c r="C149" s="43" t="s">
        <v>111</v>
      </c>
      <c r="D149" s="43" t="s">
        <v>111</v>
      </c>
      <c r="E149" s="28">
        <v>7.15</v>
      </c>
      <c r="F149" s="28">
        <v>7.15</v>
      </c>
      <c r="G149" s="28">
        <v>5.57</v>
      </c>
      <c r="H149" s="29">
        <v>5.57</v>
      </c>
      <c r="I149" s="28">
        <v>7.15</v>
      </c>
      <c r="J149" s="29">
        <v>7.15</v>
      </c>
      <c r="K149" s="28">
        <v>0.75</v>
      </c>
      <c r="L149" s="29">
        <v>0.75</v>
      </c>
      <c r="M149" s="28">
        <v>90.2</v>
      </c>
      <c r="N149" s="29">
        <v>90.2</v>
      </c>
      <c r="O149" s="29">
        <v>0.07</v>
      </c>
      <c r="P149" s="29">
        <f>O149/2</f>
        <v>0.035</v>
      </c>
      <c r="Q149" s="29">
        <v>0.39</v>
      </c>
      <c r="R149" s="29">
        <f>Q149/2</f>
        <v>0.195</v>
      </c>
      <c r="S149" s="28">
        <v>0.15</v>
      </c>
      <c r="T149" s="29">
        <v>0.15</v>
      </c>
      <c r="U149" s="29">
        <v>81.4</v>
      </c>
      <c r="V149" s="29">
        <f>U149/2</f>
        <v>40.7</v>
      </c>
      <c r="W149" s="29">
        <v>2.2</v>
      </c>
      <c r="X149" s="29">
        <f>W149/2</f>
        <v>1.1</v>
      </c>
      <c r="Y149" s="1"/>
      <c r="Z149" s="57"/>
      <c r="AA149" s="57"/>
      <c r="AB149" s="57"/>
      <c r="AC149" s="57"/>
      <c r="AD149" s="57"/>
      <c r="AE149" s="53"/>
    </row>
    <row r="150" spans="1:29" s="77" customFormat="1" ht="28.5" customHeight="1">
      <c r="A150" s="120" t="s">
        <v>181</v>
      </c>
      <c r="B150" s="67" t="s">
        <v>182</v>
      </c>
      <c r="C150" s="65" t="s">
        <v>119</v>
      </c>
      <c r="D150" s="65" t="s">
        <v>119</v>
      </c>
      <c r="E150" s="78">
        <v>4.1</v>
      </c>
      <c r="F150" s="61">
        <v>4.1</v>
      </c>
      <c r="G150" s="62">
        <v>3.6</v>
      </c>
      <c r="H150" s="62">
        <f>G150*150/180</f>
        <v>3</v>
      </c>
      <c r="I150" s="62">
        <v>14.94</v>
      </c>
      <c r="J150" s="62">
        <f>I150*150/180</f>
        <v>12.45</v>
      </c>
      <c r="K150" s="62">
        <v>20.7</v>
      </c>
      <c r="L150" s="62">
        <f>K150*150/180</f>
        <v>17.25</v>
      </c>
      <c r="M150" s="62">
        <v>231.66</v>
      </c>
      <c r="N150" s="62">
        <f>M150*150/180</f>
        <v>193.05</v>
      </c>
      <c r="O150" s="71">
        <v>0</v>
      </c>
      <c r="P150" s="80">
        <v>0.1</v>
      </c>
      <c r="Q150" s="71">
        <v>0.09</v>
      </c>
      <c r="R150" s="80">
        <v>0.06</v>
      </c>
      <c r="S150" s="62">
        <v>9.48</v>
      </c>
      <c r="T150" s="62">
        <f>S150*150/180</f>
        <v>7.9</v>
      </c>
      <c r="U150" s="29">
        <v>95.29</v>
      </c>
      <c r="V150" s="29">
        <v>73.98</v>
      </c>
      <c r="W150" s="29">
        <v>2.33</v>
      </c>
      <c r="X150" s="74">
        <v>1.57</v>
      </c>
      <c r="Y150" s="112"/>
      <c r="Z150" s="83"/>
      <c r="AA150" s="83"/>
      <c r="AB150" s="83"/>
      <c r="AC150" s="83"/>
    </row>
    <row r="151" spans="1:31" ht="15" customHeight="1">
      <c r="A151" s="120" t="s">
        <v>76</v>
      </c>
      <c r="B151" s="67" t="s">
        <v>77</v>
      </c>
      <c r="C151" s="65" t="s">
        <v>5</v>
      </c>
      <c r="D151" s="65" t="s">
        <v>6</v>
      </c>
      <c r="E151" s="61">
        <v>0.5</v>
      </c>
      <c r="F151" s="61">
        <v>0.38</v>
      </c>
      <c r="G151" s="61">
        <v>0.18</v>
      </c>
      <c r="H151" s="62">
        <v>0.13</v>
      </c>
      <c r="I151" s="61">
        <f>J151*200/150</f>
        <v>0</v>
      </c>
      <c r="J151" s="62">
        <v>0</v>
      </c>
      <c r="K151" s="61">
        <v>4.78</v>
      </c>
      <c r="L151" s="62">
        <v>3.58</v>
      </c>
      <c r="M151" s="61">
        <v>19.9</v>
      </c>
      <c r="N151" s="62">
        <v>14.92</v>
      </c>
      <c r="O151" s="61">
        <f>P151*200/150</f>
        <v>0.013333333333333334</v>
      </c>
      <c r="P151" s="69">
        <v>0.01</v>
      </c>
      <c r="Q151" s="61">
        <f>R151*200/150</f>
        <v>0.013333333333333334</v>
      </c>
      <c r="R151" s="69">
        <v>0.01</v>
      </c>
      <c r="S151" s="61">
        <v>0.04</v>
      </c>
      <c r="T151" s="69">
        <v>0.03</v>
      </c>
      <c r="U151" s="61">
        <f>V151*200/150</f>
        <v>5.053333333333334</v>
      </c>
      <c r="V151" s="69">
        <v>3.79</v>
      </c>
      <c r="W151" s="61">
        <f>X151*200/150</f>
        <v>0.84</v>
      </c>
      <c r="X151" s="113">
        <v>0.63</v>
      </c>
      <c r="Y151" s="53"/>
      <c r="Z151" s="53"/>
      <c r="AA151" s="53"/>
      <c r="AB151" s="53"/>
      <c r="AC151" s="53"/>
      <c r="AD151" s="53"/>
      <c r="AE151" s="53"/>
    </row>
    <row r="152" spans="1:31" s="16" customFormat="1" ht="15" customHeight="1">
      <c r="A152" s="119"/>
      <c r="B152" s="23" t="s">
        <v>11</v>
      </c>
      <c r="C152" s="43" t="s">
        <v>14</v>
      </c>
      <c r="D152" s="43" t="s">
        <v>14</v>
      </c>
      <c r="E152" s="28">
        <v>1.22</v>
      </c>
      <c r="F152" s="28">
        <v>1.22</v>
      </c>
      <c r="G152" s="28">
        <v>1.6</v>
      </c>
      <c r="H152" s="28">
        <v>1.6</v>
      </c>
      <c r="I152" s="28">
        <v>0.4</v>
      </c>
      <c r="J152" s="28">
        <v>0.4</v>
      </c>
      <c r="K152" s="28">
        <v>10</v>
      </c>
      <c r="L152" s="28">
        <v>10</v>
      </c>
      <c r="M152" s="29">
        <v>54</v>
      </c>
      <c r="N152" s="29">
        <v>54</v>
      </c>
      <c r="O152" s="42">
        <v>0.04</v>
      </c>
      <c r="P152" s="47">
        <v>0.04</v>
      </c>
      <c r="Q152" s="42">
        <v>0.02</v>
      </c>
      <c r="R152" s="47">
        <v>0.02</v>
      </c>
      <c r="S152" s="42">
        <v>0</v>
      </c>
      <c r="T152" s="47">
        <v>0</v>
      </c>
      <c r="U152" s="42">
        <v>7.4</v>
      </c>
      <c r="V152" s="47">
        <v>7.4</v>
      </c>
      <c r="W152" s="42">
        <v>0.56</v>
      </c>
      <c r="X152" s="47">
        <v>0.56</v>
      </c>
      <c r="Y152" s="56"/>
      <c r="Z152" s="56"/>
      <c r="AA152" s="56"/>
      <c r="AB152" s="56"/>
      <c r="AC152" s="56"/>
      <c r="AD152" s="56"/>
      <c r="AE152" s="56"/>
    </row>
    <row r="153" spans="1:31" ht="15" customHeight="1">
      <c r="A153" s="22"/>
      <c r="B153" s="23" t="s">
        <v>7</v>
      </c>
      <c r="C153" s="43"/>
      <c r="D153" s="43"/>
      <c r="E153" s="17">
        <f>SUM(E148:E152)</f>
        <v>19.88</v>
      </c>
      <c r="F153" s="17">
        <f aca="true" t="shared" si="39" ref="F153:T153">SUM(F148:F152)</f>
        <v>19.759999999999998</v>
      </c>
      <c r="G153" s="17">
        <f t="shared" si="39"/>
        <v>11.51</v>
      </c>
      <c r="H153" s="17">
        <f t="shared" si="39"/>
        <v>10.860000000000001</v>
      </c>
      <c r="I153" s="17">
        <f t="shared" si="39"/>
        <v>22.49</v>
      </c>
      <c r="J153" s="17">
        <f t="shared" si="39"/>
        <v>20</v>
      </c>
      <c r="K153" s="17">
        <f t="shared" si="39"/>
        <v>52.05</v>
      </c>
      <c r="L153" s="17">
        <f t="shared" si="39"/>
        <v>47.4</v>
      </c>
      <c r="M153" s="17">
        <f t="shared" si="39"/>
        <v>461.28</v>
      </c>
      <c r="N153" s="17">
        <f t="shared" si="39"/>
        <v>417.69</v>
      </c>
      <c r="O153" s="17">
        <f t="shared" si="39"/>
        <v>0.14333333333333334</v>
      </c>
      <c r="P153" s="17">
        <f t="shared" si="39"/>
        <v>0.20500000000000004</v>
      </c>
      <c r="Q153" s="17">
        <f t="shared" si="39"/>
        <v>0.5666666666666667</v>
      </c>
      <c r="R153" s="17">
        <f t="shared" si="39"/>
        <v>0.335</v>
      </c>
      <c r="S153" s="17">
        <f t="shared" si="39"/>
        <v>32.07</v>
      </c>
      <c r="T153" s="17">
        <f t="shared" si="39"/>
        <v>30.479999999999997</v>
      </c>
      <c r="U153" s="17">
        <f aca="true" t="shared" si="40" ref="U153:AB153">SUM(U148:U152)</f>
        <v>213.14333333333335</v>
      </c>
      <c r="V153" s="17">
        <f t="shared" si="40"/>
        <v>149.87</v>
      </c>
      <c r="W153" s="17">
        <f t="shared" si="40"/>
        <v>9.23</v>
      </c>
      <c r="X153" s="17">
        <f t="shared" si="40"/>
        <v>7.16</v>
      </c>
      <c r="Y153" s="17">
        <f t="shared" si="40"/>
        <v>0</v>
      </c>
      <c r="Z153" s="17">
        <f t="shared" si="40"/>
        <v>0</v>
      </c>
      <c r="AA153" s="17">
        <f t="shared" si="40"/>
        <v>0</v>
      </c>
      <c r="AB153" s="17">
        <f t="shared" si="40"/>
        <v>0</v>
      </c>
      <c r="AC153" s="58"/>
      <c r="AD153" s="53"/>
      <c r="AE153" s="53"/>
    </row>
    <row r="154" spans="1:31" ht="15" customHeight="1">
      <c r="A154" s="22"/>
      <c r="B154" s="23" t="s">
        <v>15</v>
      </c>
      <c r="C154" s="43"/>
      <c r="D154" s="43"/>
      <c r="E154" s="17">
        <f>SUM(E153,E146,E143,E134,E131)</f>
        <v>104.99999999999999</v>
      </c>
      <c r="F154" s="17">
        <f aca="true" t="shared" si="41" ref="F154:T154">SUM(F153,F146,F143,F134,F131)</f>
        <v>98.06</v>
      </c>
      <c r="G154" s="17">
        <f t="shared" si="41"/>
        <v>63</v>
      </c>
      <c r="H154" s="17">
        <f t="shared" si="41"/>
        <v>58.019999999999996</v>
      </c>
      <c r="I154" s="17">
        <f t="shared" si="41"/>
        <v>64.535</v>
      </c>
      <c r="J154" s="17">
        <f t="shared" si="41"/>
        <v>57.266000000000005</v>
      </c>
      <c r="K154" s="17">
        <f t="shared" si="41"/>
        <v>236.95499999999998</v>
      </c>
      <c r="L154" s="17">
        <f t="shared" si="41"/>
        <v>199.37</v>
      </c>
      <c r="M154" s="17">
        <f t="shared" si="41"/>
        <v>1784.56</v>
      </c>
      <c r="N154" s="17">
        <f t="shared" si="41"/>
        <v>1551.31</v>
      </c>
      <c r="O154" s="17">
        <f t="shared" si="41"/>
        <v>0.8853333333333333</v>
      </c>
      <c r="P154" s="17">
        <f t="shared" si="41"/>
        <v>0.7834782608695653</v>
      </c>
      <c r="Q154" s="17">
        <f t="shared" si="41"/>
        <v>1.7506666666666666</v>
      </c>
      <c r="R154" s="17">
        <f t="shared" si="41"/>
        <v>1.2944202898550725</v>
      </c>
      <c r="S154" s="17">
        <f t="shared" si="41"/>
        <v>56.42600000000001</v>
      </c>
      <c r="T154" s="17">
        <f t="shared" si="41"/>
        <v>49.865</v>
      </c>
      <c r="U154" s="17">
        <f aca="true" t="shared" si="42" ref="U154:AB154">SUM(U153,U146,U143,U134,U131)</f>
        <v>1106.9893333333334</v>
      </c>
      <c r="V154" s="17">
        <f t="shared" si="42"/>
        <v>934.2675000000002</v>
      </c>
      <c r="W154" s="17">
        <f t="shared" si="42"/>
        <v>18.444000000000003</v>
      </c>
      <c r="X154" s="17">
        <f t="shared" si="42"/>
        <v>13.933333333333334</v>
      </c>
      <c r="Y154" s="17">
        <f t="shared" si="42"/>
        <v>0</v>
      </c>
      <c r="Z154" s="17">
        <f t="shared" si="42"/>
        <v>0</v>
      </c>
      <c r="AA154" s="17">
        <f t="shared" si="42"/>
        <v>0</v>
      </c>
      <c r="AB154" s="17">
        <f t="shared" si="42"/>
        <v>0</v>
      </c>
      <c r="AC154" s="58"/>
      <c r="AD154" s="53"/>
      <c r="AE154" s="53"/>
    </row>
    <row r="155" spans="1:31" ht="15" customHeight="1">
      <c r="A155" s="27"/>
      <c r="B155" s="9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6"/>
      <c r="Y155" s="54"/>
      <c r="Z155" s="53"/>
      <c r="AA155" s="53"/>
      <c r="AB155" s="53"/>
      <c r="AC155" s="53"/>
      <c r="AD155" s="53"/>
      <c r="AE155" s="53"/>
    </row>
    <row r="156" spans="1:31" ht="15" customHeight="1">
      <c r="A156" s="27"/>
      <c r="B156" s="9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6"/>
      <c r="Y156" s="54"/>
      <c r="Z156" s="53"/>
      <c r="AA156" s="53"/>
      <c r="AB156" s="53"/>
      <c r="AC156" s="53"/>
      <c r="AD156" s="53"/>
      <c r="AE156" s="53"/>
    </row>
    <row r="157" spans="1:31" ht="15" customHeight="1" hidden="1">
      <c r="A157" s="27"/>
      <c r="B157" s="9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6"/>
      <c r="Y157" s="54"/>
      <c r="Z157" s="53"/>
      <c r="AA157" s="53"/>
      <c r="AB157" s="53"/>
      <c r="AC157" s="53"/>
      <c r="AD157" s="53"/>
      <c r="AE157" s="53"/>
    </row>
    <row r="158" spans="1:31" ht="15" customHeight="1" hidden="1">
      <c r="A158" s="27"/>
      <c r="B158" s="9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6"/>
      <c r="Y158" s="54"/>
      <c r="Z158" s="53"/>
      <c r="AA158" s="53"/>
      <c r="AB158" s="53"/>
      <c r="AC158" s="53"/>
      <c r="AD158" s="53"/>
      <c r="AE158" s="53"/>
    </row>
    <row r="159" spans="1:31" ht="15" customHeight="1" hidden="1">
      <c r="A159" s="27"/>
      <c r="B159" s="9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6"/>
      <c r="Y159" s="54"/>
      <c r="Z159" s="53"/>
      <c r="AA159" s="53"/>
      <c r="AB159" s="53"/>
      <c r="AC159" s="53"/>
      <c r="AD159" s="53"/>
      <c r="AE159" s="53"/>
    </row>
    <row r="160" spans="1:31" ht="15" customHeight="1" hidden="1">
      <c r="A160" s="27"/>
      <c r="B160" s="9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6"/>
      <c r="Y160" s="54"/>
      <c r="Z160" s="53"/>
      <c r="AA160" s="53"/>
      <c r="AB160" s="53"/>
      <c r="AC160" s="53"/>
      <c r="AD160" s="53"/>
      <c r="AE160" s="53"/>
    </row>
    <row r="161" spans="1:31" ht="15" customHeight="1" hidden="1">
      <c r="A161" s="27"/>
      <c r="B161" s="9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6"/>
      <c r="Y161" s="54"/>
      <c r="Z161" s="53"/>
      <c r="AA161" s="53"/>
      <c r="AB161" s="53"/>
      <c r="AC161" s="53"/>
      <c r="AD161" s="53"/>
      <c r="AE161" s="53"/>
    </row>
    <row r="162" spans="1:31" ht="15" customHeight="1">
      <c r="A162" s="27"/>
      <c r="B162" s="9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6"/>
      <c r="Y162" s="54"/>
      <c r="Z162" s="53"/>
      <c r="AA162" s="53"/>
      <c r="AB162" s="53"/>
      <c r="AC162" s="53"/>
      <c r="AD162" s="53"/>
      <c r="AE162" s="53"/>
    </row>
    <row r="163" spans="1:31" ht="15" customHeight="1">
      <c r="A163" s="27"/>
      <c r="B163" s="9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6"/>
      <c r="Y163" s="54"/>
      <c r="Z163" s="53"/>
      <c r="AA163" s="53"/>
      <c r="AB163" s="53"/>
      <c r="AC163" s="53"/>
      <c r="AD163" s="53"/>
      <c r="AE163" s="53"/>
    </row>
    <row r="164" spans="1:31" s="16" customFormat="1" ht="24" customHeight="1">
      <c r="A164" s="24"/>
      <c r="B164" s="183"/>
      <c r="C164" s="184"/>
      <c r="D164" s="185"/>
      <c r="E164" s="192" t="s">
        <v>0</v>
      </c>
      <c r="F164" s="163"/>
      <c r="G164" s="176" t="s">
        <v>36</v>
      </c>
      <c r="H164" s="176"/>
      <c r="I164" s="176"/>
      <c r="J164" s="176"/>
      <c r="K164" s="176"/>
      <c r="L164" s="176"/>
      <c r="M164" s="171" t="s">
        <v>37</v>
      </c>
      <c r="N164" s="171"/>
      <c r="O164" s="165" t="s">
        <v>38</v>
      </c>
      <c r="P164" s="165"/>
      <c r="Q164" s="165"/>
      <c r="R164" s="165"/>
      <c r="S164" s="165"/>
      <c r="T164" s="165"/>
      <c r="U164" s="177" t="s">
        <v>39</v>
      </c>
      <c r="V164" s="177"/>
      <c r="W164" s="177"/>
      <c r="X164" s="178"/>
      <c r="Y164" s="55"/>
      <c r="Z164" s="56"/>
      <c r="AA164" s="56"/>
      <c r="AB164" s="56"/>
      <c r="AC164" s="56"/>
      <c r="AD164" s="56"/>
      <c r="AE164" s="56"/>
    </row>
    <row r="165" spans="1:31" s="16" customFormat="1" ht="15" customHeight="1">
      <c r="A165" s="24"/>
      <c r="B165" s="186"/>
      <c r="C165" s="187"/>
      <c r="D165" s="188"/>
      <c r="E165" s="193"/>
      <c r="F165" s="194"/>
      <c r="G165" s="170" t="s">
        <v>1</v>
      </c>
      <c r="H165" s="170"/>
      <c r="I165" s="170" t="s">
        <v>2</v>
      </c>
      <c r="J165" s="170"/>
      <c r="K165" s="170" t="s">
        <v>3</v>
      </c>
      <c r="L165" s="170"/>
      <c r="M165" s="171"/>
      <c r="N165" s="171"/>
      <c r="O165" s="166" t="s">
        <v>63</v>
      </c>
      <c r="P165" s="166"/>
      <c r="Q165" s="166" t="s">
        <v>46</v>
      </c>
      <c r="R165" s="166"/>
      <c r="S165" s="166" t="s">
        <v>40</v>
      </c>
      <c r="T165" s="166"/>
      <c r="U165" s="166" t="s">
        <v>41</v>
      </c>
      <c r="V165" s="166"/>
      <c r="W165" s="166" t="s">
        <v>42</v>
      </c>
      <c r="X165" s="179"/>
      <c r="Y165" s="55"/>
      <c r="Z165" s="56"/>
      <c r="AA165" s="56"/>
      <c r="AB165" s="56"/>
      <c r="AC165" s="56"/>
      <c r="AD165" s="56"/>
      <c r="AE165" s="56"/>
    </row>
    <row r="166" spans="1:31" s="16" customFormat="1" ht="15" customHeight="1">
      <c r="A166" s="24"/>
      <c r="B166" s="189"/>
      <c r="C166" s="190"/>
      <c r="D166" s="191"/>
      <c r="E166" s="93" t="s">
        <v>21</v>
      </c>
      <c r="F166" s="93" t="s">
        <v>22</v>
      </c>
      <c r="G166" s="93" t="s">
        <v>21</v>
      </c>
      <c r="H166" s="93" t="s">
        <v>22</v>
      </c>
      <c r="I166" s="93" t="s">
        <v>21</v>
      </c>
      <c r="J166" s="93" t="s">
        <v>22</v>
      </c>
      <c r="K166" s="93" t="s">
        <v>21</v>
      </c>
      <c r="L166" s="93" t="s">
        <v>22</v>
      </c>
      <c r="M166" s="93" t="s">
        <v>21</v>
      </c>
      <c r="N166" s="93" t="s">
        <v>22</v>
      </c>
      <c r="O166" s="93" t="s">
        <v>21</v>
      </c>
      <c r="P166" s="93" t="s">
        <v>22</v>
      </c>
      <c r="Q166" s="93" t="s">
        <v>21</v>
      </c>
      <c r="R166" s="93" t="s">
        <v>22</v>
      </c>
      <c r="S166" s="93" t="s">
        <v>21</v>
      </c>
      <c r="T166" s="93" t="s">
        <v>22</v>
      </c>
      <c r="U166" s="93" t="s">
        <v>21</v>
      </c>
      <c r="V166" s="93" t="s">
        <v>22</v>
      </c>
      <c r="W166" s="93" t="s">
        <v>21</v>
      </c>
      <c r="X166" s="84" t="s">
        <v>22</v>
      </c>
      <c r="Y166" s="55"/>
      <c r="Z166" s="56"/>
      <c r="AA166" s="56"/>
      <c r="AB166" s="56"/>
      <c r="AC166" s="56"/>
      <c r="AD166" s="56"/>
      <c r="AE166" s="56"/>
    </row>
    <row r="167" spans="1:31" s="88" customFormat="1" ht="15" customHeight="1">
      <c r="A167" s="24"/>
      <c r="B167" s="167" t="s">
        <v>44</v>
      </c>
      <c r="C167" s="168"/>
      <c r="D167" s="169"/>
      <c r="E167" s="29">
        <f>E154+E125+E96+E68+E40</f>
        <v>634.39</v>
      </c>
      <c r="F167" s="29">
        <f>F154+F125+F96+F68+F40</f>
        <v>560.43</v>
      </c>
      <c r="G167" s="29">
        <f>G154-45+G125+G96+G68+G40</f>
        <v>277.43</v>
      </c>
      <c r="H167" s="29">
        <f>H154+H125-37+H96+H68-25+H40</f>
        <v>222.27222222222224</v>
      </c>
      <c r="I167" s="29">
        <f>I154-20+I125+I96+I68+I40</f>
        <v>308.605</v>
      </c>
      <c r="J167" s="29">
        <f>J154-29+J125+J96+J68+J40</f>
        <v>244.90500000000003</v>
      </c>
      <c r="K167" s="94">
        <f>K154+K125+K96+K68+K40</f>
        <v>1234.9753846153847</v>
      </c>
      <c r="L167" s="94">
        <f>L154+L125+L96+L68+L40</f>
        <v>1045.2042222222221</v>
      </c>
      <c r="M167" s="94">
        <f>M154+M125-670+M96+M68+M40</f>
        <v>8600.265384615384</v>
      </c>
      <c r="N167" s="94">
        <f>N154+N125-1200+N96+N68+N40</f>
        <v>6684.947777777777</v>
      </c>
      <c r="O167" s="29">
        <f>O154+O125+O96+O68+O40</f>
        <v>4.792666666666666</v>
      </c>
      <c r="P167" s="29">
        <f>P154+P125+P96+P68+P40</f>
        <v>3.8608374157991427</v>
      </c>
      <c r="Q167" s="29">
        <f>Q154+Q125+Q96+Q68+Q40</f>
        <v>7.111666666666667</v>
      </c>
      <c r="R167" s="29">
        <f>R154+R125+R96+R68+R40</f>
        <v>5.655183200653195</v>
      </c>
      <c r="S167" s="29">
        <f>S154-55+S125+S96+S68+S40</f>
        <v>245.35238461538464</v>
      </c>
      <c r="T167" s="29">
        <f>T154-45+T125+T96+T68+T40</f>
        <v>222.20222222222228</v>
      </c>
      <c r="U167" s="94">
        <f>U154+U125+U96+U68+U40</f>
        <v>4218.684333333333</v>
      </c>
      <c r="V167" s="94">
        <f>V154+V125+V96+V68+V40</f>
        <v>3564.562676056338</v>
      </c>
      <c r="W167" s="29">
        <f>W154+W125+W96+W68+W40</f>
        <v>40.162666666666674</v>
      </c>
      <c r="X167" s="74">
        <f>X154+X125+X96+X68+X40</f>
        <v>27.432992957746478</v>
      </c>
      <c r="Y167" s="95"/>
      <c r="Z167" s="96"/>
      <c r="AA167" s="96"/>
      <c r="AB167" s="96"/>
      <c r="AC167" s="96"/>
      <c r="AD167" s="108"/>
      <c r="AE167" s="108"/>
    </row>
    <row r="168" spans="1:31" s="88" customFormat="1" ht="15" customHeight="1">
      <c r="A168" s="24"/>
      <c r="B168" s="180" t="s">
        <v>45</v>
      </c>
      <c r="C168" s="181"/>
      <c r="D168" s="182"/>
      <c r="E168" s="29">
        <f>E167/5</f>
        <v>126.878</v>
      </c>
      <c r="F168" s="29">
        <f>F167/5</f>
        <v>112.08599999999998</v>
      </c>
      <c r="G168" s="29">
        <f aca="true" t="shared" si="43" ref="G168:O168">G167/5</f>
        <v>55.486000000000004</v>
      </c>
      <c r="H168" s="29">
        <f t="shared" si="43"/>
        <v>44.45444444444445</v>
      </c>
      <c r="I168" s="29">
        <f t="shared" si="43"/>
        <v>61.721000000000004</v>
      </c>
      <c r="J168" s="29">
        <f t="shared" si="43"/>
        <v>48.98100000000001</v>
      </c>
      <c r="K168" s="29">
        <f t="shared" si="43"/>
        <v>246.99507692307694</v>
      </c>
      <c r="L168" s="29">
        <f t="shared" si="43"/>
        <v>209.04084444444442</v>
      </c>
      <c r="M168" s="29">
        <f>M167/5</f>
        <v>1720.0530769230768</v>
      </c>
      <c r="N168" s="29">
        <f>N167/5</f>
        <v>1336.9895555555554</v>
      </c>
      <c r="O168" s="86">
        <f t="shared" si="43"/>
        <v>0.9585333333333332</v>
      </c>
      <c r="P168" s="86">
        <f aca="true" t="shared" si="44" ref="P168:X168">P167/5</f>
        <v>0.7721674831598285</v>
      </c>
      <c r="Q168" s="86">
        <f t="shared" si="44"/>
        <v>1.4223333333333334</v>
      </c>
      <c r="R168" s="86">
        <f t="shared" si="44"/>
        <v>1.1310366401306389</v>
      </c>
      <c r="S168" s="29">
        <f t="shared" si="44"/>
        <v>49.070476923076924</v>
      </c>
      <c r="T168" s="29">
        <f t="shared" si="44"/>
        <v>44.44044444444445</v>
      </c>
      <c r="U168" s="29">
        <f>U167/5</f>
        <v>843.7368666666665</v>
      </c>
      <c r="V168" s="29">
        <f>V167/5</f>
        <v>712.9125352112676</v>
      </c>
      <c r="W168" s="29">
        <f t="shared" si="44"/>
        <v>8.032533333333335</v>
      </c>
      <c r="X168" s="74">
        <f t="shared" si="44"/>
        <v>5.486598591549296</v>
      </c>
      <c r="Y168" s="95"/>
      <c r="Z168" s="96"/>
      <c r="AA168" s="96"/>
      <c r="AB168" s="96"/>
      <c r="AC168" s="96"/>
      <c r="AD168" s="108"/>
      <c r="AE168" s="108"/>
    </row>
    <row r="169" spans="1:14" s="16" customFormat="1" ht="15" customHeight="1">
      <c r="A169" s="24"/>
      <c r="B169" s="31"/>
      <c r="C169" s="31"/>
      <c r="D169" s="31"/>
      <c r="E169" s="31"/>
      <c r="F169" s="31"/>
      <c r="G169" s="31"/>
      <c r="H169" s="31"/>
      <c r="I169" s="31"/>
      <c r="J169" s="31"/>
      <c r="K169" s="18"/>
      <c r="L169" s="18"/>
      <c r="M169" s="32"/>
      <c r="N169" s="33"/>
    </row>
    <row r="170" spans="1:14" s="88" customFormat="1" ht="15" customHeight="1">
      <c r="A170" s="24"/>
      <c r="B170" s="31"/>
      <c r="C170" s="31"/>
      <c r="D170" s="31"/>
      <c r="E170" s="31"/>
      <c r="F170" s="31"/>
      <c r="G170" s="31"/>
      <c r="H170" s="31"/>
      <c r="I170" s="31"/>
      <c r="J170" s="97"/>
      <c r="K170" s="18"/>
      <c r="L170" s="18"/>
      <c r="M170" s="98"/>
      <c r="N170" s="97"/>
    </row>
    <row r="171" spans="1:14" s="88" customFormat="1" ht="15" customHeight="1">
      <c r="A171" s="24"/>
      <c r="B171" s="31"/>
      <c r="C171" s="31"/>
      <c r="D171" s="31"/>
      <c r="E171" s="31"/>
      <c r="F171" s="31"/>
      <c r="G171" s="31"/>
      <c r="H171" s="31"/>
      <c r="I171" s="31"/>
      <c r="J171" s="97"/>
      <c r="K171" s="18"/>
      <c r="L171" s="18"/>
      <c r="M171" s="97"/>
      <c r="N171" s="97"/>
    </row>
    <row r="172" spans="1:14" s="16" customFormat="1" ht="15" customHeight="1">
      <c r="A172" s="24"/>
      <c r="B172" s="12"/>
      <c r="C172" s="109"/>
      <c r="D172" s="109"/>
      <c r="E172" s="101"/>
      <c r="F172" s="101"/>
      <c r="G172" s="12"/>
      <c r="H172" s="12"/>
      <c r="I172" s="12"/>
      <c r="J172" s="12"/>
      <c r="K172" s="12"/>
      <c r="L172" s="13"/>
      <c r="M172" s="99"/>
      <c r="N172" s="99"/>
    </row>
    <row r="173" spans="1:14" s="16" customFormat="1" ht="15" customHeight="1">
      <c r="A173" s="24"/>
      <c r="B173" s="12"/>
      <c r="C173" s="101"/>
      <c r="D173" s="101"/>
      <c r="E173" s="101"/>
      <c r="F173" s="101"/>
      <c r="G173" s="12"/>
      <c r="H173" s="12"/>
      <c r="I173" s="12"/>
      <c r="J173" s="13"/>
      <c r="K173" s="13"/>
      <c r="L173" s="13"/>
      <c r="M173" s="18"/>
      <c r="N173" s="18"/>
    </row>
    <row r="174" spans="1:14" s="88" customFormat="1" ht="15" customHeight="1">
      <c r="A174" s="24"/>
      <c r="B174" s="36"/>
      <c r="C174" s="36"/>
      <c r="D174" s="36"/>
      <c r="E174" s="37"/>
      <c r="F174" s="101"/>
      <c r="G174" s="12"/>
      <c r="H174" s="12"/>
      <c r="I174" s="12"/>
      <c r="J174" s="39"/>
      <c r="K174" s="100"/>
      <c r="L174" s="100"/>
      <c r="M174" s="100"/>
      <c r="N174" s="100"/>
    </row>
    <row r="175" spans="1:14" s="16" customFormat="1" ht="15" customHeight="1">
      <c r="A175" s="24"/>
      <c r="B175" s="12" t="s">
        <v>56</v>
      </c>
      <c r="C175" s="101"/>
      <c r="D175" s="103"/>
      <c r="E175" s="103"/>
      <c r="F175" s="31"/>
      <c r="G175" s="31"/>
      <c r="H175" s="31"/>
      <c r="I175" s="31"/>
      <c r="J175" s="13" t="s">
        <v>49</v>
      </c>
      <c r="K175" s="13"/>
      <c r="L175" s="13"/>
      <c r="M175" s="33"/>
      <c r="N175" s="33"/>
    </row>
    <row r="176" spans="1:14" s="16" customFormat="1" ht="15" customHeight="1">
      <c r="A176" s="24"/>
      <c r="B176" s="12"/>
      <c r="C176" s="101"/>
      <c r="D176" s="103"/>
      <c r="E176" s="103"/>
      <c r="F176" s="31"/>
      <c r="G176" s="31"/>
      <c r="H176" s="31"/>
      <c r="I176" s="31"/>
      <c r="J176" s="13"/>
      <c r="K176" s="13"/>
      <c r="L176" s="13"/>
      <c r="M176" s="33"/>
      <c r="N176" s="33"/>
    </row>
    <row r="177" spans="1:29" s="16" customFormat="1" ht="15" customHeight="1">
      <c r="A177" s="24"/>
      <c r="B177" s="15" t="s">
        <v>123</v>
      </c>
      <c r="C177" s="15"/>
      <c r="D177" s="15"/>
      <c r="E177" s="15"/>
      <c r="F177" s="31"/>
      <c r="G177" s="31"/>
      <c r="H177" s="31"/>
      <c r="I177" s="31"/>
      <c r="J177" s="13" t="s">
        <v>124</v>
      </c>
      <c r="K177" s="13"/>
      <c r="L177" s="13"/>
      <c r="M177" s="33"/>
      <c r="N177" s="33"/>
      <c r="Y177" s="56"/>
      <c r="Z177" s="56"/>
      <c r="AA177" s="56"/>
      <c r="AB177" s="56"/>
      <c r="AC177" s="56"/>
    </row>
    <row r="178" spans="1:14" s="16" customFormat="1" ht="15" customHeight="1">
      <c r="A178" s="24"/>
      <c r="B178" s="12"/>
      <c r="C178" s="101"/>
      <c r="D178" s="101"/>
      <c r="E178" s="101"/>
      <c r="F178" s="38"/>
      <c r="G178" s="39"/>
      <c r="H178" s="39"/>
      <c r="I178" s="39"/>
      <c r="J178" s="13"/>
      <c r="K178" s="13"/>
      <c r="L178" s="13"/>
      <c r="M178" s="33"/>
      <c r="N178" s="33"/>
    </row>
    <row r="179" spans="1:14" s="16" customFormat="1" ht="15" customHeight="1">
      <c r="A179" s="24"/>
      <c r="B179" s="109" t="s">
        <v>74</v>
      </c>
      <c r="C179" s="12"/>
      <c r="D179" s="12"/>
      <c r="E179" s="13"/>
      <c r="F179" s="38"/>
      <c r="G179" s="39"/>
      <c r="H179" s="39"/>
      <c r="I179" s="39"/>
      <c r="J179" s="109" t="s">
        <v>186</v>
      </c>
      <c r="K179" s="12"/>
      <c r="L179" s="13"/>
      <c r="M179" s="99"/>
      <c r="N179" s="99"/>
    </row>
    <row r="180" spans="1:14" s="16" customFormat="1" ht="15" customHeight="1">
      <c r="A180" s="24"/>
      <c r="B180" s="12"/>
      <c r="C180" s="101"/>
      <c r="D180" s="101"/>
      <c r="E180" s="101"/>
      <c r="F180" s="14"/>
      <c r="G180" s="14"/>
      <c r="H180" s="13"/>
      <c r="I180" s="13"/>
      <c r="J180" s="13"/>
      <c r="K180" s="13"/>
      <c r="L180" s="13"/>
      <c r="M180" s="99"/>
      <c r="N180" s="99"/>
    </row>
    <row r="181" spans="1:14" s="16" customFormat="1" ht="15" customHeight="1">
      <c r="A181" s="24"/>
      <c r="B181" s="15" t="s">
        <v>125</v>
      </c>
      <c r="C181" s="102"/>
      <c r="D181" s="102"/>
      <c r="E181" s="102"/>
      <c r="F181" s="14"/>
      <c r="G181" s="14"/>
      <c r="H181" s="13"/>
      <c r="I181" s="13"/>
      <c r="J181" s="13" t="s">
        <v>126</v>
      </c>
      <c r="L181" s="13"/>
      <c r="M181" s="99"/>
      <c r="N181" s="99"/>
    </row>
    <row r="182" spans="1:14" s="16" customFormat="1" ht="15">
      <c r="A182" s="24"/>
      <c r="B182" s="34"/>
      <c r="C182" s="35"/>
      <c r="D182" s="35"/>
      <c r="E182" s="35"/>
      <c r="F182" s="15"/>
      <c r="G182" s="15"/>
      <c r="H182" s="15"/>
      <c r="I182" s="15"/>
      <c r="J182" s="35"/>
      <c r="K182" s="35"/>
      <c r="L182" s="35"/>
      <c r="M182" s="35"/>
      <c r="N182" s="35"/>
    </row>
    <row r="183" spans="1:14" s="16" customFormat="1" ht="15">
      <c r="A183" s="24"/>
      <c r="B183" s="34"/>
      <c r="C183" s="34"/>
      <c r="D183" s="34"/>
      <c r="E183" s="35"/>
      <c r="F183" s="101"/>
      <c r="G183" s="13"/>
      <c r="H183" s="13"/>
      <c r="I183" s="13"/>
      <c r="J183" s="34"/>
      <c r="K183" s="34"/>
      <c r="L183" s="34"/>
      <c r="M183" s="99"/>
      <c r="N183" s="99"/>
    </row>
    <row r="184" spans="1:14" s="16" customFormat="1" ht="15">
      <c r="A184" s="24"/>
      <c r="B184" s="34"/>
      <c r="C184" s="34"/>
      <c r="D184" s="34"/>
      <c r="E184" s="35"/>
      <c r="F184" s="15"/>
      <c r="G184" s="31"/>
      <c r="H184" s="31"/>
      <c r="I184" s="13"/>
      <c r="J184" s="34"/>
      <c r="K184" s="34"/>
      <c r="L184" s="34"/>
      <c r="M184" s="99"/>
      <c r="N184" s="99"/>
    </row>
    <row r="185" spans="1:14" s="16" customFormat="1" ht="15">
      <c r="A185" s="24"/>
      <c r="B185" s="34"/>
      <c r="C185" s="34"/>
      <c r="D185" s="34"/>
      <c r="E185" s="35"/>
      <c r="F185" s="101"/>
      <c r="G185" s="13"/>
      <c r="H185" s="13"/>
      <c r="I185" s="13"/>
      <c r="J185" s="34"/>
      <c r="K185" s="34"/>
      <c r="L185" s="34"/>
      <c r="M185" s="99"/>
      <c r="N185" s="99"/>
    </row>
    <row r="186" spans="1:14" s="16" customFormat="1" ht="14.25">
      <c r="A186" s="24"/>
      <c r="B186" s="34"/>
      <c r="C186" s="34"/>
      <c r="D186" s="34"/>
      <c r="E186" s="35"/>
      <c r="F186" s="35"/>
      <c r="G186" s="34"/>
      <c r="H186" s="34"/>
      <c r="I186" s="34"/>
      <c r="J186" s="34"/>
      <c r="K186" s="34"/>
      <c r="L186" s="34"/>
      <c r="M186" s="99"/>
      <c r="N186" s="99"/>
    </row>
    <row r="187" spans="1:14" s="16" customFormat="1" ht="12.75">
      <c r="A187" s="24"/>
      <c r="B187" s="18"/>
      <c r="C187" s="18"/>
      <c r="D187" s="18"/>
      <c r="E187" s="19"/>
      <c r="F187" s="19"/>
      <c r="G187" s="18"/>
      <c r="H187" s="18"/>
      <c r="I187" s="18"/>
      <c r="J187" s="18"/>
      <c r="K187" s="18"/>
      <c r="L187" s="18"/>
      <c r="M187" s="18"/>
      <c r="N187" s="18"/>
    </row>
    <row r="188" spans="1:14" s="16" customFormat="1" ht="12.75">
      <c r="A188" s="24"/>
      <c r="B188" s="18"/>
      <c r="C188" s="18"/>
      <c r="D188" s="18"/>
      <c r="E188" s="19"/>
      <c r="F188" s="19"/>
      <c r="G188" s="18"/>
      <c r="H188" s="18"/>
      <c r="I188" s="18"/>
      <c r="J188" s="18"/>
      <c r="K188" s="18"/>
      <c r="L188" s="18"/>
      <c r="M188" s="18"/>
      <c r="N188" s="18"/>
    </row>
    <row r="189" spans="1:14" s="16" customFormat="1" ht="12.75">
      <c r="A189" s="24"/>
      <c r="B189" s="18"/>
      <c r="C189" s="18"/>
      <c r="D189" s="18"/>
      <c r="E189" s="19"/>
      <c r="F189" s="19"/>
      <c r="G189" s="18"/>
      <c r="H189" s="18"/>
      <c r="I189" s="18"/>
      <c r="J189" s="18"/>
      <c r="K189" s="18"/>
      <c r="L189" s="18"/>
      <c r="M189" s="18"/>
      <c r="N189" s="18"/>
    </row>
    <row r="190" spans="1:14" s="16" customFormat="1" ht="12.75">
      <c r="A190" s="24"/>
      <c r="B190" s="18"/>
      <c r="C190" s="18"/>
      <c r="D190" s="18"/>
      <c r="E190" s="19"/>
      <c r="F190" s="19"/>
      <c r="G190" s="18"/>
      <c r="H190" s="18"/>
      <c r="I190" s="18"/>
      <c r="J190" s="18"/>
      <c r="K190" s="18"/>
      <c r="L190" s="18"/>
      <c r="M190" s="18"/>
      <c r="N190" s="18"/>
    </row>
    <row r="191" spans="1:14" s="16" customFormat="1" ht="12.75">
      <c r="A191" s="24"/>
      <c r="B191" s="18"/>
      <c r="C191" s="18"/>
      <c r="D191" s="18"/>
      <c r="E191" s="19"/>
      <c r="F191" s="19"/>
      <c r="G191" s="18"/>
      <c r="H191" s="18"/>
      <c r="I191" s="18"/>
      <c r="J191" s="18"/>
      <c r="K191" s="18"/>
      <c r="L191" s="18"/>
      <c r="M191" s="18"/>
      <c r="N191" s="18"/>
    </row>
    <row r="192" spans="1:14" s="16" customFormat="1" ht="12.75">
      <c r="A192" s="24"/>
      <c r="B192" s="18"/>
      <c r="C192" s="18"/>
      <c r="D192" s="18"/>
      <c r="E192" s="19"/>
      <c r="F192" s="19"/>
      <c r="G192" s="18"/>
      <c r="H192" s="18"/>
      <c r="I192" s="18"/>
      <c r="J192" s="18"/>
      <c r="K192" s="18"/>
      <c r="L192" s="18"/>
      <c r="M192" s="18"/>
      <c r="N192" s="18"/>
    </row>
    <row r="193" spans="1:14" s="16" customFormat="1" ht="12.75">
      <c r="A193" s="24"/>
      <c r="B193" s="18"/>
      <c r="C193" s="18"/>
      <c r="D193" s="18"/>
      <c r="E193" s="19"/>
      <c r="F193" s="19"/>
      <c r="G193" s="18"/>
      <c r="H193" s="18"/>
      <c r="I193" s="18"/>
      <c r="J193" s="18"/>
      <c r="K193" s="18"/>
      <c r="L193" s="18"/>
      <c r="M193" s="18"/>
      <c r="N193" s="18"/>
    </row>
    <row r="194" spans="1:14" s="16" customFormat="1" ht="12.75">
      <c r="A194" s="24"/>
      <c r="B194" s="18"/>
      <c r="C194" s="18"/>
      <c r="D194" s="18"/>
      <c r="E194" s="19"/>
      <c r="F194" s="19"/>
      <c r="G194" s="18"/>
      <c r="H194" s="18"/>
      <c r="I194" s="18"/>
      <c r="J194" s="18"/>
      <c r="K194" s="18"/>
      <c r="L194" s="18"/>
      <c r="M194" s="18"/>
      <c r="N194" s="18"/>
    </row>
    <row r="195" spans="1:14" s="16" customFormat="1" ht="12.75">
      <c r="A195" s="24"/>
      <c r="B195" s="18"/>
      <c r="C195" s="18"/>
      <c r="D195" s="18"/>
      <c r="E195" s="19"/>
      <c r="F195" s="19"/>
      <c r="G195" s="18"/>
      <c r="H195" s="18"/>
      <c r="I195" s="18"/>
      <c r="J195" s="18"/>
      <c r="K195" s="18"/>
      <c r="L195" s="18"/>
      <c r="M195" s="18"/>
      <c r="N195" s="18"/>
    </row>
    <row r="196" spans="1:14" s="16" customFormat="1" ht="12.75">
      <c r="A196" s="24"/>
      <c r="B196" s="18"/>
      <c r="C196" s="18"/>
      <c r="D196" s="18"/>
      <c r="E196" s="19"/>
      <c r="F196" s="19"/>
      <c r="G196" s="18"/>
      <c r="H196" s="18"/>
      <c r="I196" s="18"/>
      <c r="J196" s="18"/>
      <c r="K196" s="18"/>
      <c r="L196" s="18"/>
      <c r="M196" s="18"/>
      <c r="N196" s="18"/>
    </row>
    <row r="197" spans="1:14" s="16" customFormat="1" ht="12.75">
      <c r="A197" s="24"/>
      <c r="B197" s="18"/>
      <c r="C197" s="18"/>
      <c r="D197" s="18"/>
      <c r="E197" s="19"/>
      <c r="F197" s="19"/>
      <c r="G197" s="18"/>
      <c r="H197" s="18"/>
      <c r="I197" s="18"/>
      <c r="J197" s="18"/>
      <c r="K197" s="18"/>
      <c r="L197" s="18"/>
      <c r="M197" s="18"/>
      <c r="N197" s="18"/>
    </row>
    <row r="198" spans="1:14" s="16" customFormat="1" ht="12.75">
      <c r="A198" s="24"/>
      <c r="B198" s="18"/>
      <c r="C198" s="18"/>
      <c r="D198" s="18"/>
      <c r="E198" s="19"/>
      <c r="F198" s="19"/>
      <c r="G198" s="18"/>
      <c r="H198" s="18"/>
      <c r="I198" s="18"/>
      <c r="J198" s="18"/>
      <c r="K198" s="18"/>
      <c r="L198" s="18"/>
      <c r="M198" s="18"/>
      <c r="N198" s="18"/>
    </row>
    <row r="199" spans="1:14" s="16" customFormat="1" ht="12.75">
      <c r="A199" s="24"/>
      <c r="B199" s="18"/>
      <c r="C199" s="18"/>
      <c r="D199" s="18"/>
      <c r="E199" s="19"/>
      <c r="F199" s="19"/>
      <c r="G199" s="18"/>
      <c r="H199" s="18"/>
      <c r="I199" s="18"/>
      <c r="J199" s="18"/>
      <c r="K199" s="18"/>
      <c r="L199" s="18"/>
      <c r="M199" s="18"/>
      <c r="N199" s="18"/>
    </row>
    <row r="200" spans="1:14" s="16" customFormat="1" ht="12.75">
      <c r="A200" s="24"/>
      <c r="B200" s="18"/>
      <c r="C200" s="18"/>
      <c r="D200" s="18"/>
      <c r="E200" s="19"/>
      <c r="F200" s="19"/>
      <c r="G200" s="18"/>
      <c r="H200" s="18"/>
      <c r="I200" s="18"/>
      <c r="J200" s="18"/>
      <c r="K200" s="18"/>
      <c r="L200" s="18"/>
      <c r="M200" s="18"/>
      <c r="N200" s="18"/>
    </row>
    <row r="201" spans="1:14" s="16" customFormat="1" ht="12.75">
      <c r="A201" s="24"/>
      <c r="B201" s="18"/>
      <c r="C201" s="18"/>
      <c r="D201" s="18"/>
      <c r="E201" s="19"/>
      <c r="F201" s="19"/>
      <c r="G201" s="18"/>
      <c r="H201" s="18"/>
      <c r="I201" s="18"/>
      <c r="J201" s="18"/>
      <c r="K201" s="18"/>
      <c r="L201" s="18"/>
      <c r="M201" s="18"/>
      <c r="N201" s="18"/>
    </row>
    <row r="202" spans="1:14" s="16" customFormat="1" ht="12.75">
      <c r="A202" s="24"/>
      <c r="B202" s="18"/>
      <c r="C202" s="18"/>
      <c r="D202" s="18"/>
      <c r="E202" s="19"/>
      <c r="F202" s="19"/>
      <c r="G202" s="18"/>
      <c r="H202" s="18"/>
      <c r="I202" s="18"/>
      <c r="J202" s="18"/>
      <c r="K202" s="18"/>
      <c r="L202" s="18"/>
      <c r="M202" s="18"/>
      <c r="N202" s="18"/>
    </row>
    <row r="203" spans="1:14" s="16" customFormat="1" ht="12.75">
      <c r="A203" s="24"/>
      <c r="B203" s="18"/>
      <c r="C203" s="18"/>
      <c r="D203" s="18"/>
      <c r="E203" s="19"/>
      <c r="F203" s="19"/>
      <c r="G203" s="18"/>
      <c r="H203" s="18"/>
      <c r="I203" s="18"/>
      <c r="J203" s="18"/>
      <c r="K203" s="18"/>
      <c r="L203" s="18"/>
      <c r="M203" s="18"/>
      <c r="N203" s="18"/>
    </row>
    <row r="204" spans="1:14" s="16" customFormat="1" ht="12.75">
      <c r="A204" s="24"/>
      <c r="B204" s="18"/>
      <c r="C204" s="18"/>
      <c r="D204" s="18"/>
      <c r="E204" s="19"/>
      <c r="F204" s="19"/>
      <c r="G204" s="18"/>
      <c r="H204" s="18"/>
      <c r="I204" s="18"/>
      <c r="J204" s="18"/>
      <c r="K204" s="18"/>
      <c r="L204" s="18"/>
      <c r="M204" s="18"/>
      <c r="N204" s="18"/>
    </row>
    <row r="205" spans="1:14" s="16" customFormat="1" ht="12.75">
      <c r="A205" s="24"/>
      <c r="B205" s="18"/>
      <c r="C205" s="18"/>
      <c r="D205" s="18"/>
      <c r="E205" s="19"/>
      <c r="F205" s="19"/>
      <c r="G205" s="18"/>
      <c r="H205" s="18"/>
      <c r="I205" s="18"/>
      <c r="J205" s="18"/>
      <c r="K205" s="18"/>
      <c r="L205" s="18"/>
      <c r="M205" s="18"/>
      <c r="N205" s="18"/>
    </row>
    <row r="206" spans="1:14" s="16" customFormat="1" ht="12.75">
      <c r="A206" s="24"/>
      <c r="B206" s="18"/>
      <c r="C206" s="18"/>
      <c r="D206" s="18"/>
      <c r="E206" s="19"/>
      <c r="F206" s="19"/>
      <c r="G206" s="18"/>
      <c r="H206" s="18"/>
      <c r="I206" s="18"/>
      <c r="J206" s="18"/>
      <c r="K206" s="18"/>
      <c r="L206" s="18"/>
      <c r="M206" s="18"/>
      <c r="N206" s="18"/>
    </row>
    <row r="207" spans="1:14" s="16" customFormat="1" ht="12.75">
      <c r="A207" s="24"/>
      <c r="B207" s="18"/>
      <c r="C207" s="18"/>
      <c r="D207" s="18"/>
      <c r="E207" s="19"/>
      <c r="F207" s="19"/>
      <c r="G207" s="18"/>
      <c r="H207" s="18"/>
      <c r="I207" s="18"/>
      <c r="J207" s="18"/>
      <c r="K207" s="18"/>
      <c r="L207" s="18"/>
      <c r="M207" s="18"/>
      <c r="N207" s="18"/>
    </row>
    <row r="208" spans="1:14" s="16" customFormat="1" ht="12.75">
      <c r="A208" s="24"/>
      <c r="B208" s="18"/>
      <c r="C208" s="18"/>
      <c r="D208" s="18"/>
      <c r="E208" s="19"/>
      <c r="F208" s="19"/>
      <c r="G208" s="18"/>
      <c r="H208" s="18"/>
      <c r="I208" s="18"/>
      <c r="J208" s="18"/>
      <c r="K208" s="18"/>
      <c r="L208" s="18"/>
      <c r="M208" s="18"/>
      <c r="N208" s="18"/>
    </row>
    <row r="209" spans="1:14" s="16" customFormat="1" ht="12.75">
      <c r="A209" s="24"/>
      <c r="B209" s="18"/>
      <c r="C209" s="18"/>
      <c r="D209" s="18"/>
      <c r="E209" s="19"/>
      <c r="F209" s="19"/>
      <c r="G209" s="18"/>
      <c r="H209" s="18"/>
      <c r="I209" s="18"/>
      <c r="J209" s="18"/>
      <c r="K209" s="18"/>
      <c r="L209" s="18"/>
      <c r="M209" s="18"/>
      <c r="N209" s="18"/>
    </row>
    <row r="210" spans="1:14" s="16" customFormat="1" ht="12.75">
      <c r="A210" s="24"/>
      <c r="B210" s="18"/>
      <c r="C210" s="18"/>
      <c r="D210" s="18"/>
      <c r="E210" s="19"/>
      <c r="F210" s="19"/>
      <c r="G210" s="18"/>
      <c r="H210" s="18"/>
      <c r="I210" s="18"/>
      <c r="J210" s="18"/>
      <c r="K210" s="18"/>
      <c r="L210" s="18"/>
      <c r="M210" s="18"/>
      <c r="N210" s="18"/>
    </row>
    <row r="211" spans="1:14" s="16" customFormat="1" ht="12.75">
      <c r="A211" s="24"/>
      <c r="B211" s="18"/>
      <c r="C211" s="18"/>
      <c r="D211" s="18"/>
      <c r="E211" s="19"/>
      <c r="F211" s="19"/>
      <c r="G211" s="18"/>
      <c r="H211" s="18"/>
      <c r="I211" s="18"/>
      <c r="J211" s="18"/>
      <c r="K211" s="18"/>
      <c r="L211" s="18"/>
      <c r="M211" s="18"/>
      <c r="N211" s="18"/>
    </row>
  </sheetData>
  <sheetProtection/>
  <mergeCells count="34">
    <mergeCell ref="O12:P12"/>
    <mergeCell ref="B168:D168"/>
    <mergeCell ref="B164:D166"/>
    <mergeCell ref="E164:F165"/>
    <mergeCell ref="I165:J165"/>
    <mergeCell ref="G164:L164"/>
    <mergeCell ref="G165:H165"/>
    <mergeCell ref="O164:T164"/>
    <mergeCell ref="O165:P165"/>
    <mergeCell ref="U164:X164"/>
    <mergeCell ref="U165:V165"/>
    <mergeCell ref="W165:X165"/>
    <mergeCell ref="W12:X12"/>
    <mergeCell ref="U12:V12"/>
    <mergeCell ref="A8:X8"/>
    <mergeCell ref="A11:A12"/>
    <mergeCell ref="B11:B12"/>
    <mergeCell ref="C11:D12"/>
    <mergeCell ref="E11:F12"/>
    <mergeCell ref="G11:L11"/>
    <mergeCell ref="M11:N12"/>
    <mergeCell ref="S12:T12"/>
    <mergeCell ref="G12:H12"/>
    <mergeCell ref="U11:X11"/>
    <mergeCell ref="M4:N4"/>
    <mergeCell ref="O11:T11"/>
    <mergeCell ref="Q12:R12"/>
    <mergeCell ref="B167:D167"/>
    <mergeCell ref="K165:L165"/>
    <mergeCell ref="M164:N165"/>
    <mergeCell ref="S165:T165"/>
    <mergeCell ref="Q165:R165"/>
    <mergeCell ref="I12:J12"/>
    <mergeCell ref="K12:L12"/>
  </mergeCells>
  <printOptions/>
  <pageMargins left="0" right="0" top="0" bottom="0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2019-10-08T13:32:48Z</cp:lastPrinted>
  <dcterms:created xsi:type="dcterms:W3CDTF">2010-07-29T06:39:54Z</dcterms:created>
  <dcterms:modified xsi:type="dcterms:W3CDTF">2019-10-09T08:11:22Z</dcterms:modified>
  <cp:category/>
  <cp:version/>
  <cp:contentType/>
  <cp:contentStatus/>
</cp:coreProperties>
</file>